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ehtaish\Downloads\"/>
    </mc:Choice>
  </mc:AlternateContent>
  <xr:revisionPtr revIDLastSave="0" documentId="8_{BD4DEAF5-EAA3-4D7D-AB2E-264067F0770E}" xr6:coauthVersionLast="47" xr6:coauthVersionMax="47" xr10:uidLastSave="{00000000-0000-0000-0000-000000000000}"/>
  <workbookProtection workbookAlgorithmName="SHA-512" workbookHashValue="KZkmSetaS3hdTavYhW3PsG9LQ2mrR6zntY9M9LrcHCepQqc0s9IgFUA0KhCG9nzWXpywp8Pu4zwzcLFP2sVIAw==" workbookSaltValue="bZEx9WqlYxCyVGybpoXXuA==" workbookSpinCount="100000" lockStructure="1"/>
  <bookViews>
    <workbookView xWindow="-120" yWindow="-120" windowWidth="29040" windowHeight="17520" tabRatio="771" xr2:uid="{00000000-000D-0000-FFFF-FFFF00000000}"/>
  </bookViews>
  <sheets>
    <sheet name="CUSTOMER SHEET" sheetId="21" r:id="rId1"/>
    <sheet name="xl_DCF_History" sheetId="2" state="veryHidden" r:id="rId2"/>
    <sheet name="Version" sheetId="23" state="hidden" r:id="rId3"/>
    <sheet name="Input_data" sheetId="6" state="hidden" r:id="rId4"/>
    <sheet name="Rx_final" sheetId="11" state="hidden" r:id="rId5"/>
    <sheet name="Rx_Pyramid" sheetId="4" state="hidden" r:id="rId6"/>
    <sheet name="Tx_Pyramid" sheetId="7" state="hidden" r:id="rId7"/>
    <sheet name="R&amp;T_Pyramids" sheetId="9" state="hidden" r:id="rId8"/>
    <sheet name="CG_p&amp;r_receiver" sheetId="10" state="hidden" r:id="rId9"/>
    <sheet name="CG_p&amp;r_transmitter" sheetId="12" state="hidden" r:id="rId10"/>
    <sheet name="Tx_final" sheetId="13" state="hidden" r:id="rId11"/>
    <sheet name="Refraction" sheetId="14" state="hidden" r:id="rId12"/>
    <sheet name="C_centre" sheetId="15" state="hidden" r:id="rId13"/>
    <sheet name="R_centre" sheetId="18" state="hidden" r:id="rId14"/>
    <sheet name="Apex" sheetId="17" state="hidden" r:id="rId15"/>
  </sheets>
  <definedNames>
    <definedName name="Airgap">'CUSTOMER SHEET'!$F$19</definedName>
    <definedName name="Airgap_Diffraction_Index">'CUSTOMER SHEET'!$F$20</definedName>
    <definedName name="CG_Diffraction_Index">'CUSTOMER SHEET'!$F$13</definedName>
    <definedName name="CG_Rx">'CUSTOMER SHEET'!$F$15</definedName>
    <definedName name="CG_Ry">'CUSTOMER SHEET'!$F$14</definedName>
    <definedName name="CG_Thickness">'CUSTOMER SHEET'!$F$12</definedName>
    <definedName name="FoV_Tol">Input_data!$E$5</definedName>
    <definedName name="FoVx_andtol">Input_data!$E$4</definedName>
    <definedName name="FoVy_andtol">Input_data!$E$3</definedName>
    <definedName name="Module_rZ">'CUSTOMER SHEET'!$F$26</definedName>
    <definedName name="Module_XYTols">'CUSTOMER SHEET'!$F$24</definedName>
    <definedName name="Module_ZTol">'CUSTOMER SHEET'!$F$25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6" l="1"/>
  <c r="H4" i="6"/>
  <c r="H5" i="6"/>
  <c r="E6" i="6" l="1"/>
  <c r="E5" i="6" l="1"/>
  <c r="I4" i="6"/>
  <c r="I3" i="6"/>
  <c r="G5" i="6"/>
  <c r="F5" i="6"/>
  <c r="G4" i="6"/>
  <c r="F4" i="6"/>
  <c r="G3" i="6"/>
  <c r="F3" i="6"/>
  <c r="E16" i="6"/>
  <c r="E17" i="6"/>
  <c r="E22" i="6" l="1"/>
  <c r="E21" i="6"/>
  <c r="E20" i="6"/>
  <c r="E19" i="6"/>
  <c r="E12" i="6"/>
  <c r="F11" i="6" l="1"/>
  <c r="H11" i="6"/>
  <c r="G11" i="6"/>
  <c r="C15" i="14"/>
  <c r="C4" i="14"/>
  <c r="C5" i="12"/>
  <c r="C5" i="10"/>
  <c r="D2" i="15"/>
  <c r="C4" i="10"/>
  <c r="C4" i="12"/>
  <c r="D1" i="15"/>
  <c r="F13" i="6"/>
  <c r="G13" i="6"/>
  <c r="H13" i="6"/>
  <c r="F14" i="6" l="1"/>
  <c r="G14" i="6"/>
  <c r="H14" i="6"/>
  <c r="E4" i="6"/>
  <c r="E7" i="6"/>
  <c r="E8" i="6"/>
  <c r="E9" i="6"/>
  <c r="E10" i="6"/>
  <c r="R5" i="6"/>
  <c r="E14" i="6"/>
  <c r="U5" i="6" s="1"/>
  <c r="E3" i="6"/>
  <c r="I14" i="6"/>
  <c r="I13" i="6"/>
  <c r="E13" i="6" s="1"/>
  <c r="R6" i="6" s="1"/>
  <c r="C3" i="12" l="1"/>
  <c r="C3" i="10"/>
  <c r="C12" i="7"/>
  <c r="C12" i="4"/>
  <c r="C11" i="4"/>
  <c r="C2" i="12"/>
  <c r="C2" i="10"/>
  <c r="C11" i="7"/>
  <c r="E2" i="6"/>
  <c r="I11" i="6" l="1"/>
  <c r="E11" i="6" s="1"/>
  <c r="C2" i="4"/>
  <c r="C2" i="7"/>
  <c r="C6" i="7" s="1"/>
  <c r="H26" i="15"/>
  <c r="C10" i="7" l="1"/>
  <c r="N26" i="15"/>
  <c r="P26" i="15"/>
  <c r="J10" i="18" l="1"/>
  <c r="B10" i="18"/>
  <c r="B2" i="18"/>
  <c r="C3" i="18"/>
  <c r="D3" i="18"/>
  <c r="K3" i="18"/>
  <c r="L3" i="18"/>
  <c r="B4" i="18"/>
  <c r="J4" i="18"/>
  <c r="B5" i="18"/>
  <c r="J5" i="18"/>
  <c r="B6" i="18"/>
  <c r="B20" i="18" s="1"/>
  <c r="J6" i="18"/>
  <c r="J20" i="18" s="1"/>
  <c r="B7" i="18"/>
  <c r="J7" i="18"/>
  <c r="J2" i="18"/>
  <c r="L26" i="15"/>
  <c r="K31" i="15" s="1"/>
  <c r="J11" i="18" s="1"/>
  <c r="F26" i="15"/>
  <c r="D26" i="15"/>
  <c r="C31" i="15" s="1"/>
  <c r="B11" i="18" s="1"/>
  <c r="U6" i="6"/>
  <c r="O23" i="15" l="1"/>
  <c r="N7" i="18" s="1"/>
  <c r="O22" i="15"/>
  <c r="N6" i="18" s="1"/>
  <c r="O21" i="15"/>
  <c r="N5" i="18" s="1"/>
  <c r="O20" i="15"/>
  <c r="N4" i="18" s="1"/>
  <c r="O16" i="15"/>
  <c r="O15" i="15"/>
  <c r="O14" i="15"/>
  <c r="O13" i="15"/>
  <c r="G21" i="15"/>
  <c r="F5" i="18" s="1"/>
  <c r="G22" i="15"/>
  <c r="F6" i="18" s="1"/>
  <c r="G23" i="15"/>
  <c r="F7" i="18" s="1"/>
  <c r="G20" i="15"/>
  <c r="F4" i="18" s="1"/>
  <c r="G13" i="15"/>
  <c r="G14" i="15"/>
  <c r="G15" i="15"/>
  <c r="G16" i="15"/>
  <c r="C3" i="14" l="1"/>
  <c r="C8" i="9" l="1"/>
  <c r="C10" i="9" s="1"/>
  <c r="C3" i="9"/>
  <c r="C5" i="9" s="1"/>
  <c r="C2" i="9"/>
  <c r="C4" i="9" s="1"/>
  <c r="C72" i="12"/>
  <c r="C64" i="12"/>
  <c r="C63" i="12"/>
  <c r="C67" i="12"/>
  <c r="C57" i="12"/>
  <c r="C58" i="12" s="1"/>
  <c r="C61" i="12" s="1"/>
  <c r="C9" i="9" l="1"/>
  <c r="C11" i="9" s="1"/>
  <c r="C70" i="12"/>
  <c r="C33" i="12"/>
  <c r="C66" i="12"/>
  <c r="J57" i="12"/>
  <c r="J58" i="12" s="1"/>
  <c r="J61" i="12" s="1"/>
  <c r="C6" i="12"/>
  <c r="C72" i="10"/>
  <c r="C33" i="10"/>
  <c r="C6" i="10" l="1"/>
  <c r="C66" i="10" l="1"/>
  <c r="C70" i="10"/>
  <c r="C67" i="10"/>
  <c r="J57" i="10"/>
  <c r="J58" i="10" s="1"/>
  <c r="J61" i="10" s="1"/>
  <c r="C57" i="10"/>
  <c r="C58" i="10" s="1"/>
  <c r="C64" i="10" l="1"/>
  <c r="C63" i="10"/>
  <c r="C61" i="10" l="1"/>
  <c r="C15" i="10"/>
  <c r="C16" i="10" s="1"/>
  <c r="C15" i="12"/>
  <c r="C16" i="12" s="1"/>
  <c r="C15" i="9" l="1"/>
  <c r="C7" i="12" s="1"/>
  <c r="C12" i="12" s="1"/>
  <c r="C13" i="12" s="1"/>
  <c r="C14" i="12"/>
  <c r="C14" i="9"/>
  <c r="C7" i="10" s="1"/>
  <c r="C12" i="10" s="1"/>
  <c r="C13" i="10" s="1"/>
  <c r="C14" i="10"/>
  <c r="C6" i="4" l="1"/>
  <c r="C18" i="7"/>
  <c r="C2" i="13"/>
  <c r="C2" i="11"/>
  <c r="C10" i="4"/>
  <c r="C22" i="4" l="1"/>
  <c r="C18" i="4"/>
  <c r="C3" i="7"/>
  <c r="C19" i="7"/>
  <c r="C19" i="4"/>
  <c r="C69" i="10"/>
  <c r="C26" i="10" s="1"/>
  <c r="C71" i="10"/>
  <c r="C27" i="10" s="1"/>
  <c r="C68" i="10"/>
  <c r="C25" i="10" s="1"/>
  <c r="C41" i="10" s="1"/>
  <c r="J56" i="10"/>
  <c r="J59" i="10" s="1"/>
  <c r="J20" i="10" s="1"/>
  <c r="C24" i="10"/>
  <c r="C48" i="10" s="1"/>
  <c r="C68" i="12"/>
  <c r="C25" i="12" s="1"/>
  <c r="C41" i="12" s="1"/>
  <c r="J56" i="12"/>
  <c r="J59" i="12" s="1"/>
  <c r="C69" i="12"/>
  <c r="C26" i="12" s="1"/>
  <c r="C71" i="12"/>
  <c r="C27" i="12" s="1"/>
  <c r="C24" i="12"/>
  <c r="C48" i="12" s="1"/>
  <c r="C74" i="10"/>
  <c r="C75" i="10" s="1"/>
  <c r="C56" i="10"/>
  <c r="C59" i="10" s="1"/>
  <c r="C30" i="10"/>
  <c r="C34" i="10"/>
  <c r="C74" i="12"/>
  <c r="C75" i="12" s="1"/>
  <c r="C56" i="12"/>
  <c r="C59" i="12" s="1"/>
  <c r="C30" i="12"/>
  <c r="C34" i="12"/>
  <c r="C7" i="4"/>
  <c r="C3" i="4"/>
  <c r="C9" i="4"/>
  <c r="C5" i="7"/>
  <c r="C17" i="7" s="1"/>
  <c r="C4" i="7"/>
  <c r="C5" i="4"/>
  <c r="C12" i="11" s="1"/>
  <c r="C4" i="4"/>
  <c r="E11" i="15" l="1"/>
  <c r="M11" i="15" s="1"/>
  <c r="C7" i="7"/>
  <c r="C9" i="7"/>
  <c r="C29" i="10"/>
  <c r="C29" i="12"/>
  <c r="C18" i="10"/>
  <c r="C20" i="10"/>
  <c r="C42" i="12"/>
  <c r="C43" i="12" s="1"/>
  <c r="C6" i="13" s="1"/>
  <c r="C44" i="12"/>
  <c r="C45" i="12" s="1"/>
  <c r="C42" i="10"/>
  <c r="C43" i="10" s="1"/>
  <c r="C6" i="11" s="1"/>
  <c r="C44" i="10"/>
  <c r="C45" i="10" s="1"/>
  <c r="C60" i="12"/>
  <c r="C20" i="12"/>
  <c r="C18" i="12"/>
  <c r="C35" i="10"/>
  <c r="C36" i="10" s="1"/>
  <c r="C4" i="11" s="1"/>
  <c r="C37" i="10"/>
  <c r="C38" i="10" s="1"/>
  <c r="C39" i="10" s="1"/>
  <c r="C5" i="11" s="1"/>
  <c r="C28" i="12"/>
  <c r="C60" i="10"/>
  <c r="J60" i="12"/>
  <c r="J18" i="12"/>
  <c r="J20" i="12"/>
  <c r="C51" i="10"/>
  <c r="C52" i="10" s="1"/>
  <c r="C49" i="10"/>
  <c r="C50" i="10" s="1"/>
  <c r="C8" i="11" s="1"/>
  <c r="C35" i="12"/>
  <c r="C36" i="12" s="1"/>
  <c r="C4" i="13" s="1"/>
  <c r="C37" i="12"/>
  <c r="C38" i="12" s="1"/>
  <c r="C39" i="12" s="1"/>
  <c r="C5" i="13" s="1"/>
  <c r="C51" i="12"/>
  <c r="C52" i="12" s="1"/>
  <c r="C49" i="12"/>
  <c r="C50" i="12" s="1"/>
  <c r="C8" i="13" s="1"/>
  <c r="J60" i="10"/>
  <c r="J18" i="10"/>
  <c r="C28" i="10"/>
  <c r="F43" i="13"/>
  <c r="F43" i="11"/>
  <c r="C77" i="12"/>
  <c r="C12" i="13"/>
  <c r="C14" i="11"/>
  <c r="C15" i="11"/>
  <c r="C16" i="4"/>
  <c r="C13" i="11"/>
  <c r="C17" i="4"/>
  <c r="C13" i="4"/>
  <c r="C14" i="4" s="1"/>
  <c r="C8" i="4"/>
  <c r="C8" i="7" l="1"/>
  <c r="C13" i="7"/>
  <c r="C14" i="7" s="1"/>
  <c r="C13" i="13"/>
  <c r="C17" i="13" s="1"/>
  <c r="C16" i="7"/>
  <c r="E14" i="15"/>
  <c r="E16" i="15"/>
  <c r="E15" i="15"/>
  <c r="E13" i="15"/>
  <c r="M16" i="15"/>
  <c r="M13" i="15"/>
  <c r="M14" i="15"/>
  <c r="M15" i="15"/>
  <c r="J19" i="10"/>
  <c r="J21" i="10"/>
  <c r="C21" i="12"/>
  <c r="C19" i="12"/>
  <c r="J19" i="12"/>
  <c r="J21" i="12"/>
  <c r="C19" i="10"/>
  <c r="C21" i="10"/>
  <c r="C15" i="13"/>
  <c r="C14" i="13"/>
  <c r="C20" i="13"/>
  <c r="C21" i="13"/>
  <c r="C25" i="13" s="1"/>
  <c r="C77" i="10"/>
  <c r="C21" i="11"/>
  <c r="C20" i="11"/>
  <c r="C17" i="11"/>
  <c r="C16" i="11"/>
  <c r="C16" i="13" l="1"/>
  <c r="C31" i="13"/>
  <c r="C37" i="13" s="1"/>
  <c r="K11" i="14" s="1"/>
  <c r="K18" i="14" s="1"/>
  <c r="K23" i="14" s="1"/>
  <c r="M8" i="15" s="1"/>
  <c r="C24" i="13"/>
  <c r="C30" i="13" s="1"/>
  <c r="C46" i="12"/>
  <c r="C7" i="13" s="1"/>
  <c r="C26" i="13" s="1"/>
  <c r="C32" i="13" s="1"/>
  <c r="C53" i="12"/>
  <c r="C9" i="13" s="1"/>
  <c r="C27" i="13" s="1"/>
  <c r="C33" i="13" s="1"/>
  <c r="C25" i="11"/>
  <c r="C31" i="11" s="1"/>
  <c r="C53" i="10"/>
  <c r="C9" i="11" s="1"/>
  <c r="C27" i="11" s="1"/>
  <c r="C33" i="11" s="1"/>
  <c r="C46" i="10"/>
  <c r="C7" i="11" s="1"/>
  <c r="C26" i="11" s="1"/>
  <c r="C32" i="11" s="1"/>
  <c r="C24" i="11"/>
  <c r="C30" i="11" s="1"/>
  <c r="C43" i="11" l="1"/>
  <c r="E28" i="6" s="1"/>
  <c r="M21" i="15"/>
  <c r="L5" i="18" s="1"/>
  <c r="L21" i="15"/>
  <c r="K5" i="18" s="1"/>
  <c r="C38" i="13"/>
  <c r="K12" i="14" s="1"/>
  <c r="K19" i="14" s="1"/>
  <c r="K24" i="14" s="1"/>
  <c r="M6" i="15" s="1"/>
  <c r="C36" i="13"/>
  <c r="K10" i="14" s="1"/>
  <c r="K17" i="14" s="1"/>
  <c r="K22" i="14" s="1"/>
  <c r="M7" i="15" s="1"/>
  <c r="C39" i="11"/>
  <c r="C13" i="14" s="1"/>
  <c r="C20" i="14" s="1"/>
  <c r="C25" i="14" s="1"/>
  <c r="E9" i="15" s="1"/>
  <c r="C37" i="11"/>
  <c r="C11" i="14" s="1"/>
  <c r="C18" i="14" s="1"/>
  <c r="C23" i="14" s="1"/>
  <c r="E8" i="15" s="1"/>
  <c r="C36" i="11"/>
  <c r="C10" i="14" s="1"/>
  <c r="C17" i="14" s="1"/>
  <c r="C22" i="14" s="1"/>
  <c r="E7" i="15" s="1"/>
  <c r="C38" i="11"/>
  <c r="C12" i="14" s="1"/>
  <c r="C19" i="14" s="1"/>
  <c r="C24" i="14" s="1"/>
  <c r="E6" i="15" s="1"/>
  <c r="C44" i="13"/>
  <c r="C39" i="13"/>
  <c r="K13" i="14" s="1"/>
  <c r="K20" i="14" s="1"/>
  <c r="K25" i="14" s="1"/>
  <c r="M9" i="15" s="1"/>
  <c r="C43" i="13"/>
  <c r="C44" i="11"/>
  <c r="E20" i="15" l="1"/>
  <c r="D4" i="18" s="1"/>
  <c r="D20" i="15"/>
  <c r="C4" i="18" s="1"/>
  <c r="M22" i="15"/>
  <c r="L22" i="15"/>
  <c r="M20" i="15"/>
  <c r="L4" i="18" s="1"/>
  <c r="L20" i="15"/>
  <c r="K4" i="18" s="1"/>
  <c r="D22" i="15"/>
  <c r="E22" i="15"/>
  <c r="A6" i="15"/>
  <c r="I9" i="15"/>
  <c r="I6" i="15"/>
  <c r="I7" i="15"/>
  <c r="I8" i="15"/>
  <c r="A9" i="15"/>
  <c r="A7" i="15"/>
  <c r="A8" i="15"/>
  <c r="E21" i="15"/>
  <c r="D5" i="18" s="1"/>
  <c r="D21" i="15"/>
  <c r="C5" i="18" s="1"/>
  <c r="M23" i="15"/>
  <c r="L7" i="18" s="1"/>
  <c r="L23" i="15"/>
  <c r="K7" i="18" s="1"/>
  <c r="D23" i="15"/>
  <c r="C7" i="18" s="1"/>
  <c r="E23" i="15"/>
  <c r="D7" i="18" s="1"/>
  <c r="E31" i="6"/>
  <c r="K7" i="14"/>
  <c r="K28" i="14" s="1"/>
  <c r="O31" i="6" s="1"/>
  <c r="E32" i="6"/>
  <c r="K8" i="14"/>
  <c r="K29" i="14" s="1"/>
  <c r="O32" i="6" s="1"/>
  <c r="C7" i="14"/>
  <c r="C28" i="14" s="1"/>
  <c r="O28" i="6" s="1"/>
  <c r="E29" i="6"/>
  <c r="C8" i="14"/>
  <c r="C29" i="14" s="1"/>
  <c r="O29" i="6" s="1"/>
  <c r="H28" i="15" l="1"/>
  <c r="H27" i="15"/>
  <c r="P28" i="15"/>
  <c r="N27" i="15"/>
  <c r="N28" i="15"/>
  <c r="P27" i="15"/>
  <c r="L31" i="15"/>
  <c r="K11" i="18" s="1"/>
  <c r="K6" i="18"/>
  <c r="K20" i="18" s="1"/>
  <c r="M31" i="15"/>
  <c r="L11" i="18" s="1"/>
  <c r="L6" i="18"/>
  <c r="L20" i="18" s="1"/>
  <c r="D31" i="15"/>
  <c r="C11" i="18" s="1"/>
  <c r="C6" i="18"/>
  <c r="E31" i="15"/>
  <c r="D11" i="18" s="1"/>
  <c r="D6" i="18"/>
  <c r="L28" i="15"/>
  <c r="L27" i="15"/>
  <c r="F27" i="15"/>
  <c r="D28" i="15"/>
  <c r="F28" i="15"/>
  <c r="D27" i="15"/>
  <c r="C33" i="15" l="1"/>
  <c r="B13" i="18" s="1"/>
  <c r="B22" i="18" s="1"/>
  <c r="K33" i="15"/>
  <c r="J13" i="18" s="1"/>
  <c r="J22" i="18" s="1"/>
  <c r="C32" i="15"/>
  <c r="B12" i="18" s="1"/>
  <c r="B21" i="18" s="1"/>
  <c r="K32" i="15"/>
  <c r="J12" i="18" s="1"/>
  <c r="J21" i="18" s="1"/>
  <c r="L22" i="18"/>
  <c r="K21" i="18"/>
  <c r="D20" i="18"/>
  <c r="C20" i="18"/>
  <c r="D33" i="15" l="1"/>
  <c r="C13" i="18" s="1"/>
  <c r="C22" i="18" s="1"/>
  <c r="E33" i="15"/>
  <c r="D13" i="18" s="1"/>
  <c r="M33" i="15"/>
  <c r="L13" i="18" s="1"/>
  <c r="L33" i="15"/>
  <c r="K13" i="18" s="1"/>
  <c r="M32" i="15"/>
  <c r="L12" i="18" s="1"/>
  <c r="L32" i="15"/>
  <c r="K12" i="18" s="1"/>
  <c r="C21" i="18"/>
  <c r="D22" i="18"/>
  <c r="E32" i="15"/>
  <c r="D12" i="18" s="1"/>
  <c r="D32" i="15"/>
  <c r="C12" i="18" s="1"/>
  <c r="D16" i="18" l="1"/>
  <c r="AE29" i="6" s="1"/>
  <c r="F60" i="21" s="1"/>
  <c r="C16" i="18"/>
  <c r="K16" i="18"/>
  <c r="L16" i="18"/>
  <c r="AG32" i="6" s="1"/>
  <c r="F72" i="21" s="1"/>
  <c r="L21" i="18"/>
  <c r="K22" i="18"/>
  <c r="D21" i="18"/>
  <c r="L34" i="15" a="1"/>
  <c r="M34" i="15" s="1"/>
  <c r="M40" i="15" s="1"/>
  <c r="D34" i="15" a="1"/>
  <c r="E34" i="15" s="1"/>
  <c r="E40" i="15" s="1"/>
  <c r="J32" i="21" s="1"/>
  <c r="AG31" i="6" l="1"/>
  <c r="D72" i="21" s="1"/>
  <c r="C25" i="18"/>
  <c r="H60" i="21" s="1"/>
  <c r="AE28" i="6"/>
  <c r="D60" i="21" s="1"/>
  <c r="J31" i="21"/>
  <c r="J45" i="21"/>
  <c r="D25" i="18"/>
  <c r="L25" i="18"/>
  <c r="J72" i="21" s="1"/>
  <c r="AE32" i="6"/>
  <c r="F59" i="21" s="1"/>
  <c r="K25" i="18"/>
  <c r="H72" i="21" s="1"/>
  <c r="AE31" i="6"/>
  <c r="D59" i="21" s="1"/>
  <c r="D17" i="18"/>
  <c r="AC29" i="6" s="1"/>
  <c r="L17" i="18"/>
  <c r="AC32" i="6" s="1"/>
  <c r="T32" i="6"/>
  <c r="T29" i="6"/>
  <c r="L34" i="15"/>
  <c r="D34" i="15"/>
  <c r="D40" i="15" s="1"/>
  <c r="G32" i="21" s="1"/>
  <c r="AA28" i="6" l="1"/>
  <c r="H59" i="21"/>
  <c r="J59" i="21"/>
  <c r="AA29" i="6"/>
  <c r="J60" i="21"/>
  <c r="AA31" i="6"/>
  <c r="AA32" i="6"/>
  <c r="L40" i="15"/>
  <c r="T28" i="6"/>
  <c r="L35" i="15"/>
  <c r="L41" i="15" s="1"/>
  <c r="D35" i="15"/>
  <c r="D41" i="15" s="1"/>
  <c r="V29" i="6" s="1"/>
  <c r="D32" i="21" l="1"/>
  <c r="G31" i="21"/>
  <c r="G45" i="21"/>
  <c r="T31" i="6"/>
  <c r="V32" i="6"/>
  <c r="D31" i="21" l="1"/>
  <c r="D46" i="21"/>
  <c r="D45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tc={E742F0E3-CD58-4DDB-AECE-36CFC685C227}</author>
  </authors>
  <commentList>
    <comment ref="B26" authorId="0" shapeId="0" xr:uid="{E742F0E3-CD58-4DDB-AECE-36CFC685C227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Assumed low enough tilt tolerance that no impact in ‘X’</t>
      </text>
    </comment>
  </commentList>
</comments>
</file>

<file path=xl/sharedStrings.xml><?xml version="1.0" encoding="utf-8"?>
<sst xmlns="http://schemas.openxmlformats.org/spreadsheetml/2006/main" count="1265" uniqueCount="455">
  <si>
    <t>STMicroelectronics multizone Time-of-Flight aperture calculator</t>
  </si>
  <si>
    <t>SETTINGS</t>
  </si>
  <si>
    <t>Sensor selection</t>
  </si>
  <si>
    <t>Item</t>
  </si>
  <si>
    <t>Value</t>
  </si>
  <si>
    <t>Description</t>
  </si>
  <si>
    <t>Sensor</t>
  </si>
  <si>
    <t>VL53L8</t>
  </si>
  <si>
    <t>Supported devices are VL53L5, L7, L8, L9</t>
  </si>
  <si>
    <t>Coverglass parameters</t>
  </si>
  <si>
    <t>Coverglass thickness</t>
  </si>
  <si>
    <t>in millimeters</t>
  </si>
  <si>
    <t>Coverglass refractive index</t>
  </si>
  <si>
    <t>no unit</t>
  </si>
  <si>
    <r>
      <t xml:space="preserve">Coverglass pitch y axis angle </t>
    </r>
    <r>
      <rPr>
        <b/>
        <sz val="11"/>
        <color theme="1"/>
        <rFont val="Calibri"/>
        <family val="2"/>
        <scheme val="minor"/>
      </rPr>
      <t>- not recommended</t>
    </r>
  </si>
  <si>
    <t>in degrees</t>
  </si>
  <si>
    <t>Coverglass roll x axis angle</t>
  </si>
  <si>
    <t>Industrial design parameters</t>
  </si>
  <si>
    <t>Airgap</t>
  </si>
  <si>
    <t>Airgap/gasket refractive index</t>
  </si>
  <si>
    <t>Manufacturing tolerances</t>
  </si>
  <si>
    <t>X, Y tolerances</t>
  </si>
  <si>
    <t>in micrometers</t>
  </si>
  <si>
    <t>Z tolerance</t>
  </si>
  <si>
    <t>Rotation tolerance</t>
  </si>
  <si>
    <t>RESULTS - automatically computed</t>
  </si>
  <si>
    <t>Two circles (red circles)</t>
  </si>
  <si>
    <t>Diameter (mm)</t>
  </si>
  <si>
    <t>Circle center offset vs
Optical axis (Xc) 
(mm)</t>
  </si>
  <si>
    <t>Circle center offset vs
Optical axis (Yc) 
(mm)</t>
  </si>
  <si>
    <t>Emitter</t>
  </si>
  <si>
    <t>Receiver</t>
  </si>
  <si>
    <t>Single oval (blue shape)</t>
  </si>
  <si>
    <t>Size (mm)</t>
  </si>
  <si>
    <t>Circle center offset vs
Optical axis (Xce) 
(mm)</t>
  </si>
  <si>
    <t>Circle center offset vs
Optical axis (Yce) 
(mm)</t>
  </si>
  <si>
    <t>N/A</t>
  </si>
  <si>
    <t>Two rectangles (red)</t>
  </si>
  <si>
    <t>X size (mm)</t>
  </si>
  <si>
    <t>Y size (mm)</t>
  </si>
  <si>
    <t>Rectangle center offset vs
optical axis (Xc)
(mm)</t>
  </si>
  <si>
    <t>Rectangle center offset vs
optical axis (Yc)
(mm)</t>
  </si>
  <si>
    <t>Single Rectangle</t>
  </si>
  <si>
    <t>Rectangle center offset vs
optical axis (Xce)
(mm)</t>
  </si>
  <si>
    <t>Rectangle center offset vs
optical axis (Yce))
(mm)</t>
  </si>
  <si>
    <t>Aperture size</t>
  </si>
  <si>
    <t>Version</t>
  </si>
  <si>
    <t>Date</t>
  </si>
  <si>
    <t>Comments</t>
  </si>
  <si>
    <t>DRAFT 0.1</t>
  </si>
  <si>
    <t>Initial commit from IMG apps central - branch for L9 ONLY</t>
  </si>
  <si>
    <t>CLINAME</t>
  </si>
  <si>
    <t>DATETIME</t>
  </si>
  <si>
    <t>DONEBY</t>
  </si>
  <si>
    <t>IPADDRESS</t>
  </si>
  <si>
    <t>APPVER</t>
  </si>
  <si>
    <t>RANDOM</t>
  </si>
  <si>
    <t>CHECKSUM</t>
  </si>
  <si>
    <t>ଢ଼୶ୋ୴୩୻୻ୱ୮ୱ୭୬</t>
  </si>
  <si>
    <t>ହସଷହ଺ଷ଺ସହୀନନହ଻ୂଽଽ୘୕ନର୏୕ଡ଼ଳହୂସ଱</t>
  </si>
  <si>
    <t>୛ଡ଼୤୛୩୴୾୩୼୷୺୭ନ୯ୱ୷୾୭୶ୱ</t>
  </si>
  <si>
    <t>୍ୌ୊ୋୟ୔ହସସଽ</t>
  </si>
  <si>
    <t>ାଶସଶସଶସ</t>
  </si>
  <si>
    <t>ଽ଻ଽହ</t>
  </si>
  <si>
    <t>๠๹๎๷๬๾๾๴๱๴๰๯</t>
  </si>
  <si>
    <t>฽ฺ฿ฺ฽฻฽฼หห฼฼ๅ฾ใหำ๒๘๟฻ๅ฻ิ</t>
  </si>
  <si>
    <t>๦๠๹๎๷๬๾๾๴๱๴๰๯๨ห้ห์๔๛ห๳๬๹๯๺ກ๰๽</t>
  </si>
  <si>
    <t>๐๏ํ๎๢๗฼฻ไใ</t>
  </si>
  <si>
    <t>โู฼ู฻ู฻</t>
  </si>
  <si>
    <t>เแไโ</t>
  </si>
  <si>
    <t>Selected sensor</t>
  </si>
  <si>
    <t>VL53L5</t>
  </si>
  <si>
    <t>VL53L7</t>
  </si>
  <si>
    <t>VL53L9</t>
  </si>
  <si>
    <t>Unit</t>
  </si>
  <si>
    <t>Details</t>
  </si>
  <si>
    <t>Settings</t>
  </si>
  <si>
    <t>FoVy + tol</t>
  </si>
  <si>
    <t>deg</t>
  </si>
  <si>
    <t>y is the shorter side of the module</t>
  </si>
  <si>
    <t>Rotational point:</t>
  </si>
  <si>
    <t>see R&amp;T_Pyramids - currently the roation point is located along the Z axis of the  refenrece coordinates adopted in this calculation</t>
  </si>
  <si>
    <t>FoVx + tol</t>
  </si>
  <si>
    <t>x is the longer side of the module</t>
  </si>
  <si>
    <t>Receiver and trasmitter center coordinates respect to the rotational point</t>
  </si>
  <si>
    <t>FoV tolerance</t>
  </si>
  <si>
    <r>
      <t>X</t>
    </r>
    <r>
      <rPr>
        <vertAlign val="subscript"/>
        <sz val="11"/>
        <color theme="1"/>
        <rFont val="Calibri"/>
        <family val="2"/>
        <scheme val="minor"/>
      </rPr>
      <t>R</t>
    </r>
  </si>
  <si>
    <t>mm</t>
  </si>
  <si>
    <r>
      <t>Y</t>
    </r>
    <r>
      <rPr>
        <vertAlign val="subscript"/>
        <sz val="11"/>
        <color theme="1"/>
        <rFont val="Calibri"/>
        <family val="2"/>
        <scheme val="minor"/>
      </rPr>
      <t>R</t>
    </r>
  </si>
  <si>
    <r>
      <t>T</t>
    </r>
    <r>
      <rPr>
        <b/>
        <vertAlign val="subscript"/>
        <sz val="12"/>
        <color rgb="FF000000"/>
        <rFont val="Calibri"/>
        <family val="2"/>
        <scheme val="minor"/>
      </rPr>
      <t>xPyramidApex</t>
    </r>
  </si>
  <si>
    <t>Transmitter apex</t>
  </si>
  <si>
    <r>
      <t>X</t>
    </r>
    <r>
      <rPr>
        <vertAlign val="subscript"/>
        <sz val="11"/>
        <color theme="1"/>
        <rFont val="Calibri"/>
        <family val="2"/>
        <scheme val="minor"/>
      </rPr>
      <t>T</t>
    </r>
  </si>
  <si>
    <r>
      <t>Y</t>
    </r>
    <r>
      <rPr>
        <vertAlign val="subscript"/>
        <sz val="11"/>
        <color theme="1"/>
        <rFont val="Calibri"/>
        <family val="2"/>
        <scheme val="minor"/>
      </rPr>
      <t>T</t>
    </r>
  </si>
  <si>
    <r>
      <rPr>
        <sz val="12"/>
        <color rgb="FF000000"/>
        <rFont val="Calibri"/>
        <family val="2"/>
        <scheme val="minor"/>
      </rPr>
      <t>R</t>
    </r>
    <r>
      <rPr>
        <vertAlign val="subscript"/>
        <sz val="12"/>
        <color rgb="FF000000"/>
        <rFont val="Calibri"/>
        <family val="2"/>
        <scheme val="minor"/>
      </rPr>
      <t>xPyramidApex</t>
    </r>
  </si>
  <si>
    <t>Receiver apex</t>
  </si>
  <si>
    <t>Module Width</t>
  </si>
  <si>
    <t>along y</t>
  </si>
  <si>
    <t>Module Length</t>
  </si>
  <si>
    <t>along x</t>
  </si>
  <si>
    <t>Tx center to Rx center distance</t>
  </si>
  <si>
    <t>Tx center to Rx center distance after tilt</t>
  </si>
  <si>
    <t>Xr</t>
  </si>
  <si>
    <t xml:space="preserve">Rx optic to module edge </t>
  </si>
  <si>
    <t>Xt</t>
  </si>
  <si>
    <t>Xr + Rx/Tx separation</t>
  </si>
  <si>
    <t>Yr</t>
  </si>
  <si>
    <t>Y width / 2 (assuming Tx is centred in width)</t>
  </si>
  <si>
    <t>airgap</t>
  </si>
  <si>
    <t>Airgap/gasket thickness</t>
  </si>
  <si>
    <t>Airgap/gasket diffraction index</t>
  </si>
  <si>
    <r>
      <t>n</t>
    </r>
    <r>
      <rPr>
        <vertAlign val="subscript"/>
        <sz val="11"/>
        <color theme="1"/>
        <rFont val="Calibri"/>
        <family val="2"/>
        <scheme val="minor"/>
      </rPr>
      <t>AG</t>
    </r>
  </si>
  <si>
    <t>CG</t>
  </si>
  <si>
    <t>CG thickness</t>
  </si>
  <si>
    <t>CG diffraction index</t>
  </si>
  <si>
    <r>
      <t>n</t>
    </r>
    <r>
      <rPr>
        <vertAlign val="subscript"/>
        <sz val="11"/>
        <color theme="1"/>
        <rFont val="Calibri"/>
        <family val="2"/>
        <scheme val="minor"/>
      </rPr>
      <t>G</t>
    </r>
  </si>
  <si>
    <t>CG pitch</t>
  </si>
  <si>
    <t>CG rotation around y axis</t>
  </si>
  <si>
    <t>CG roll</t>
  </si>
  <si>
    <t>CG rotation around x axis</t>
  </si>
  <si>
    <t>Diagonals</t>
  </si>
  <si>
    <t>before CG diffraction</t>
  </si>
  <si>
    <t>after CG diffraction</t>
  </si>
  <si>
    <t>Circle coordinates respect the pyramid apex center</t>
  </si>
  <si>
    <t>Rectangle center coordinates respect the 
pyramid apex center</t>
  </si>
  <si>
    <t>ONE piece  of glass</t>
  </si>
  <si>
    <t>lengths</t>
  </si>
  <si>
    <t>D1</t>
  </si>
  <si>
    <r>
      <t>x</t>
    </r>
    <r>
      <rPr>
        <b/>
        <vertAlign val="subscript"/>
        <sz val="11"/>
        <color theme="1"/>
        <rFont val="Calibri"/>
        <family val="2"/>
        <scheme val="minor"/>
      </rPr>
      <t>c</t>
    </r>
  </si>
  <si>
    <t>Diameter</t>
  </si>
  <si>
    <r>
      <t>x</t>
    </r>
    <r>
      <rPr>
        <b/>
        <vertAlign val="subscript"/>
        <sz val="11"/>
        <color theme="1"/>
        <rFont val="Calibri"/>
        <family val="2"/>
        <scheme val="minor"/>
      </rPr>
      <t>r</t>
    </r>
  </si>
  <si>
    <t>Diagonal</t>
  </si>
  <si>
    <t>D2</t>
  </si>
  <si>
    <r>
      <t>y</t>
    </r>
    <r>
      <rPr>
        <b/>
        <vertAlign val="subscript"/>
        <sz val="11"/>
        <color theme="1"/>
        <rFont val="Calibri"/>
        <family val="2"/>
        <scheme val="minor"/>
      </rPr>
      <t>c</t>
    </r>
  </si>
  <si>
    <r>
      <t>y</t>
    </r>
    <r>
      <rPr>
        <b/>
        <vertAlign val="subscript"/>
        <sz val="11"/>
        <color theme="1"/>
        <rFont val="Calibri"/>
        <family val="2"/>
        <scheme val="minor"/>
      </rPr>
      <t>r</t>
    </r>
  </si>
  <si>
    <t>Transmitter</t>
  </si>
  <si>
    <t>Symbol</t>
  </si>
  <si>
    <t>Formula</t>
  </si>
  <si>
    <t>OH'</t>
  </si>
  <si>
    <t>E'S</t>
  </si>
  <si>
    <t>=S1S*SIN(CG pitch)/SIN[180-CG pitch-(90-FoVx/2)]</t>
  </si>
  <si>
    <t>G'W</t>
  </si>
  <si>
    <t>=S1W*SIN(CG pitch)/SIN(S1G'W)</t>
  </si>
  <si>
    <t>B'R</t>
  </si>
  <si>
    <t>=R1R*SIN(CG pitch)/SIN[180-CG pitch-(90-FoVx/2)]</t>
  </si>
  <si>
    <t>C'Z</t>
  </si>
  <si>
    <t>=R1Z*SIN(CG pitch)/SIN(R1C'Z)</t>
  </si>
  <si>
    <t>A'T</t>
  </si>
  <si>
    <t>=T1T*SIN(CG Pitch)/SIN[180-CG Pitch-(90-FoVx/2)]</t>
  </si>
  <si>
    <t>D'V</t>
  </si>
  <si>
    <t>=T1V*SIN(CG Pitch)/SIN(T1D'V)</t>
  </si>
  <si>
    <t>IO = FO</t>
  </si>
  <si>
    <t>= a</t>
  </si>
  <si>
    <t>EO = GO</t>
  </si>
  <si>
    <t>= d</t>
  </si>
  <si>
    <t>UI</t>
  </si>
  <si>
    <t>= UO - IO</t>
  </si>
  <si>
    <t>PF</t>
  </si>
  <si>
    <t>= PO - FO</t>
  </si>
  <si>
    <t>SE = WG</t>
  </si>
  <si>
    <t>= SO - EO</t>
  </si>
  <si>
    <t>WG</t>
  </si>
  <si>
    <t>= WO - GO</t>
  </si>
  <si>
    <t>OT = OV</t>
  </si>
  <si>
    <r>
      <t>= OU / COS(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</rPr>
      <t>)</t>
    </r>
  </si>
  <si>
    <t>OR = OZ</t>
  </si>
  <si>
    <r>
      <t>= OP / COS(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</rPr>
      <t>)</t>
    </r>
  </si>
  <si>
    <t>OA'</t>
  </si>
  <si>
    <t>= OT + TA'</t>
  </si>
  <si>
    <t>OB'</t>
  </si>
  <si>
    <t>= OR + RB'</t>
  </si>
  <si>
    <t>OC'</t>
  </si>
  <si>
    <t>= OZ + ZC'</t>
  </si>
  <si>
    <t>OD'</t>
  </si>
  <si>
    <t>= OV + VD'</t>
  </si>
  <si>
    <t>H'A'</t>
  </si>
  <si>
    <r>
      <t>= SQRT[ OA'^2+OH'^2-2*OA'*OH'*COS(</t>
    </r>
    <r>
      <rPr>
        <sz val="11"/>
        <color theme="1"/>
        <rFont val="Symbol"/>
        <family val="1"/>
        <charset val="2"/>
      </rPr>
      <t>q</t>
    </r>
    <r>
      <rPr>
        <sz val="11"/>
        <color theme="1"/>
        <rFont val="Calibri"/>
        <family val="2"/>
      </rPr>
      <t>) ]</t>
    </r>
  </si>
  <si>
    <t>law of cosines</t>
  </si>
  <si>
    <t>H'B'</t>
  </si>
  <si>
    <r>
      <t>= SQRT[ OB'^2+OH'^2-2*OB'*OH'*COS(</t>
    </r>
    <r>
      <rPr>
        <sz val="11"/>
        <color theme="1"/>
        <rFont val="Symbol"/>
        <family val="1"/>
        <charset val="2"/>
      </rPr>
      <t>q</t>
    </r>
    <r>
      <rPr>
        <sz val="11"/>
        <color theme="1"/>
        <rFont val="Calibri"/>
        <family val="2"/>
        <scheme val="minor"/>
      </rPr>
      <t>) ]</t>
    </r>
  </si>
  <si>
    <t>H'C'</t>
  </si>
  <si>
    <r>
      <t>= SQRT[ OC'^2+OH'^2-2*OC'*OH'*COS(</t>
    </r>
    <r>
      <rPr>
        <sz val="11"/>
        <color theme="1"/>
        <rFont val="Symbol"/>
        <family val="1"/>
        <charset val="2"/>
      </rPr>
      <t>q</t>
    </r>
    <r>
      <rPr>
        <sz val="11"/>
        <color theme="1"/>
        <rFont val="Calibri"/>
        <family val="2"/>
        <scheme val="minor"/>
      </rPr>
      <t>) ]</t>
    </r>
  </si>
  <si>
    <t>H'D'</t>
  </si>
  <si>
    <r>
      <t>= SQRT[ OD'^2+OH'^2-2*OD'*OH'*COS(</t>
    </r>
    <r>
      <rPr>
        <sz val="11"/>
        <color theme="1"/>
        <rFont val="Symbol"/>
        <family val="1"/>
        <charset val="2"/>
      </rPr>
      <t>q</t>
    </r>
    <r>
      <rPr>
        <sz val="11"/>
        <color theme="1"/>
        <rFont val="Calibri"/>
        <family val="2"/>
        <scheme val="minor"/>
      </rPr>
      <t>) ]</t>
    </r>
  </si>
  <si>
    <t>OA'H</t>
  </si>
  <si>
    <r>
      <t>= ARCSIN[ OH' * SIN(</t>
    </r>
    <r>
      <rPr>
        <sz val="11"/>
        <color theme="1"/>
        <rFont val="Symbol"/>
        <family val="1"/>
        <charset val="2"/>
      </rPr>
      <t>q</t>
    </r>
    <r>
      <rPr>
        <sz val="11"/>
        <color theme="1"/>
        <rFont val="Calibri"/>
        <family val="2"/>
        <scheme val="minor"/>
      </rPr>
      <t>) / H'A' ]</t>
    </r>
  </si>
  <si>
    <t>rad</t>
  </si>
  <si>
    <t>OB'H</t>
  </si>
  <si>
    <r>
      <t>= ARCSIN[ OH' * SIN(</t>
    </r>
    <r>
      <rPr>
        <sz val="11"/>
        <color theme="1"/>
        <rFont val="Symbol"/>
        <family val="1"/>
        <charset val="2"/>
      </rPr>
      <t>q</t>
    </r>
    <r>
      <rPr>
        <sz val="11"/>
        <color theme="1"/>
        <rFont val="Calibri"/>
        <family val="2"/>
        <scheme val="minor"/>
      </rPr>
      <t>) / H'B' ]</t>
    </r>
  </si>
  <si>
    <t>OC'H</t>
  </si>
  <si>
    <r>
      <t>= ARCSIN[ OH' * SIN(</t>
    </r>
    <r>
      <rPr>
        <sz val="11"/>
        <color theme="1"/>
        <rFont val="Symbol"/>
        <family val="1"/>
        <charset val="2"/>
      </rPr>
      <t>q</t>
    </r>
    <r>
      <rPr>
        <sz val="11"/>
        <color theme="1"/>
        <rFont val="Calibri"/>
        <family val="2"/>
        <scheme val="minor"/>
      </rPr>
      <t>) / H'C' ]</t>
    </r>
  </si>
  <si>
    <t>OD'H</t>
  </si>
  <si>
    <r>
      <t>= ARCSIN[ OH' * SIN(</t>
    </r>
    <r>
      <rPr>
        <sz val="11"/>
        <color theme="1"/>
        <rFont val="Symbol"/>
        <family val="1"/>
        <charset val="2"/>
      </rPr>
      <t>q</t>
    </r>
    <r>
      <rPr>
        <sz val="11"/>
        <color theme="1"/>
        <rFont val="Calibri"/>
        <family val="2"/>
        <scheme val="minor"/>
      </rPr>
      <t>) / H'D' ]</t>
    </r>
  </si>
  <si>
    <t>2 Diagonals</t>
  </si>
  <si>
    <t>A'C'</t>
  </si>
  <si>
    <t>= A'H' + H'C'</t>
  </si>
  <si>
    <t xml:space="preserve">2*c = </t>
  </si>
  <si>
    <t>B'D'</t>
  </si>
  <si>
    <t>= B'H' + H'D'</t>
  </si>
  <si>
    <t>h</t>
  </si>
  <si>
    <t>=RxApex+airgap</t>
  </si>
  <si>
    <t>high of the pyramid up to the CG surface (CG surcafe facing the module - the pyraminde is not crossing the CG)</t>
  </si>
  <si>
    <t>w</t>
  </si>
  <si>
    <t>=2f</t>
  </si>
  <si>
    <t>l</t>
  </si>
  <si>
    <t>=2b</t>
  </si>
  <si>
    <t>a</t>
  </si>
  <si>
    <t>=SQRT(h^2+b^2)</t>
  </si>
  <si>
    <t>b</t>
  </si>
  <si>
    <t>=h*TAN(alfa)</t>
  </si>
  <si>
    <t>c</t>
  </si>
  <si>
    <t>=SQRT(b^2+f^2)</t>
  </si>
  <si>
    <t>e</t>
  </si>
  <si>
    <t>=SQRT(h^2+c^2)</t>
  </si>
  <si>
    <t>d</t>
  </si>
  <si>
    <t>=SQRT(h^2+f^2)</t>
  </si>
  <si>
    <t>f</t>
  </si>
  <si>
    <t>=h*TAN(beta)</t>
  </si>
  <si>
    <t>alfa</t>
  </si>
  <si>
    <t>h^a</t>
  </si>
  <si>
    <r>
      <t xml:space="preserve">half </t>
    </r>
    <r>
      <rPr>
        <b/>
        <sz val="11"/>
        <color rgb="FFFF0066"/>
        <rFont val="Calibri"/>
        <family val="2"/>
        <scheme val="minor"/>
      </rPr>
      <t>FoVy</t>
    </r>
  </si>
  <si>
    <t>beta</t>
  </si>
  <si>
    <t>h^d</t>
  </si>
  <si>
    <r>
      <t xml:space="preserve">half </t>
    </r>
    <r>
      <rPr>
        <b/>
        <sz val="11"/>
        <color rgb="FFFF0066"/>
        <rFont val="Calibri"/>
        <family val="2"/>
        <scheme val="minor"/>
      </rPr>
      <t>FoVx</t>
    </r>
  </si>
  <si>
    <t>theta</t>
  </si>
  <si>
    <t>=ATAN(c/h)</t>
  </si>
  <si>
    <t>radiants</t>
  </si>
  <si>
    <t>h^e</t>
  </si>
  <si>
    <t>q</t>
  </si>
  <si>
    <t>gamma</t>
  </si>
  <si>
    <t>=ATAN(b/d)</t>
  </si>
  <si>
    <t>g</t>
  </si>
  <si>
    <r>
      <t xml:space="preserve">along </t>
    </r>
    <r>
      <rPr>
        <b/>
        <sz val="11"/>
        <color theme="1"/>
        <rFont val="Calibri"/>
        <family val="2"/>
        <scheme val="minor"/>
      </rPr>
      <t>y</t>
    </r>
  </si>
  <si>
    <t>delta</t>
  </si>
  <si>
    <t>=ATAN(f/a)</t>
  </si>
  <si>
    <r>
      <t xml:space="preserve">along </t>
    </r>
    <r>
      <rPr>
        <b/>
        <sz val="11"/>
        <color theme="1"/>
        <rFont val="Calibri"/>
        <family val="2"/>
        <scheme val="minor"/>
      </rPr>
      <t>x</t>
    </r>
  </si>
  <si>
    <t>=ATAN(TAN(alfa)*cos(beta))</t>
  </si>
  <si>
    <t>=ATAN(TAN(beta)*cos(alfa))</t>
  </si>
  <si>
    <t>omega</t>
  </si>
  <si>
    <t>=ATAN(f/b)</t>
  </si>
  <si>
    <t>=TxApex+airgap</t>
  </si>
  <si>
    <t>From drawing data</t>
  </si>
  <si>
    <t>from drawings</t>
  </si>
  <si>
    <r>
      <t>=4+X</t>
    </r>
    <r>
      <rPr>
        <vertAlign val="subscript"/>
        <sz val="11"/>
        <color theme="1"/>
        <rFont val="Calibri"/>
        <family val="2"/>
        <scheme val="minor"/>
      </rPr>
      <t>R</t>
    </r>
  </si>
  <si>
    <r>
      <t>h</t>
    </r>
    <r>
      <rPr>
        <vertAlign val="subscript"/>
        <sz val="11"/>
        <color theme="1"/>
        <rFont val="Calibri"/>
        <family val="2"/>
        <scheme val="minor"/>
      </rPr>
      <t>Rx</t>
    </r>
  </si>
  <si>
    <r>
      <t>=X</t>
    </r>
    <r>
      <rPr>
        <vertAlign val="sub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*TAN(CG pitch)</t>
    </r>
  </si>
  <si>
    <r>
      <t>h</t>
    </r>
    <r>
      <rPr>
        <vertAlign val="subscript"/>
        <sz val="11"/>
        <color theme="1"/>
        <rFont val="Calibri"/>
        <family val="2"/>
        <scheme val="minor"/>
      </rPr>
      <t>Tx</t>
    </r>
  </si>
  <si>
    <r>
      <t>=X</t>
    </r>
    <r>
      <rPr>
        <vertAlign val="sub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*TAN(CG pitch)</t>
    </r>
  </si>
  <si>
    <r>
      <t>=Y</t>
    </r>
    <r>
      <rPr>
        <vertAlign val="subscript"/>
        <sz val="11"/>
        <color theme="1"/>
        <rFont val="Calibri"/>
        <family val="2"/>
        <scheme val="minor"/>
      </rPr>
      <t>R</t>
    </r>
  </si>
  <si>
    <r>
      <t>h</t>
    </r>
    <r>
      <rPr>
        <vertAlign val="subscript"/>
        <sz val="11"/>
        <color theme="1"/>
        <rFont val="Calibri"/>
        <family val="2"/>
        <scheme val="minor"/>
      </rPr>
      <t>Ry</t>
    </r>
  </si>
  <si>
    <r>
      <t>=Y</t>
    </r>
    <r>
      <rPr>
        <vertAlign val="sub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*TAN(CG roll)</t>
    </r>
  </si>
  <si>
    <r>
      <t>h</t>
    </r>
    <r>
      <rPr>
        <vertAlign val="subscript"/>
        <sz val="11"/>
        <color theme="1"/>
        <rFont val="Calibri"/>
        <family val="2"/>
        <scheme val="minor"/>
      </rPr>
      <t>Ty</t>
    </r>
  </si>
  <si>
    <r>
      <t>=Y</t>
    </r>
    <r>
      <rPr>
        <vertAlign val="sub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*TAN(CG roll)</t>
    </r>
  </si>
  <si>
    <r>
      <t>h</t>
    </r>
    <r>
      <rPr>
        <vertAlign val="subscript"/>
        <sz val="11"/>
        <color theme="1"/>
        <rFont val="Calibri"/>
        <family val="2"/>
        <scheme val="minor"/>
      </rPr>
      <t>R</t>
    </r>
  </si>
  <si>
    <r>
      <t>=h</t>
    </r>
    <r>
      <rPr>
        <vertAlign val="subscript"/>
        <sz val="11"/>
        <color theme="1"/>
        <rFont val="Calibri"/>
        <family val="2"/>
        <scheme val="minor"/>
      </rPr>
      <t>Rx</t>
    </r>
    <r>
      <rPr>
        <sz val="11"/>
        <color theme="1"/>
        <rFont val="Calibri"/>
        <family val="2"/>
        <scheme val="minor"/>
      </rPr>
      <t>+h</t>
    </r>
    <r>
      <rPr>
        <vertAlign val="subscript"/>
        <sz val="11"/>
        <color theme="1"/>
        <rFont val="Calibri"/>
        <family val="2"/>
        <scheme val="minor"/>
      </rPr>
      <t>Ry</t>
    </r>
  </si>
  <si>
    <r>
      <t>h</t>
    </r>
    <r>
      <rPr>
        <vertAlign val="subscript"/>
        <sz val="11"/>
        <color theme="1"/>
        <rFont val="Calibri"/>
        <family val="2"/>
        <scheme val="minor"/>
      </rPr>
      <t>T</t>
    </r>
  </si>
  <si>
    <r>
      <t>=h</t>
    </r>
    <r>
      <rPr>
        <vertAlign val="subscript"/>
        <sz val="11"/>
        <color theme="1"/>
        <rFont val="Calibri"/>
        <family val="2"/>
        <scheme val="minor"/>
      </rPr>
      <t>Tx</t>
    </r>
    <r>
      <rPr>
        <sz val="11"/>
        <color theme="1"/>
        <rFont val="Calibri"/>
        <family val="2"/>
        <scheme val="minor"/>
      </rPr>
      <t>+h</t>
    </r>
    <r>
      <rPr>
        <vertAlign val="subscript"/>
        <sz val="11"/>
        <color theme="1"/>
        <rFont val="Calibri"/>
        <family val="2"/>
        <scheme val="minor"/>
      </rPr>
      <t>Ty</t>
    </r>
  </si>
  <si>
    <t>Hypothesis</t>
  </si>
  <si>
    <t>CG is not much bigger than the module</t>
  </si>
  <si>
    <t>Worst case</t>
  </si>
  <si>
    <t>The wrost case should the see the CG rotating (two rotation, pitch and roll =&gt; rotation around one point ) around on point located on the receiver side, at the bottom left side of the module (see picture)</t>
  </si>
  <si>
    <t>FoVy</t>
  </si>
  <si>
    <t>fov deg</t>
  </si>
  <si>
    <t>FoVx</t>
  </si>
  <si>
    <r>
      <t xml:space="preserve">CG pitch </t>
    </r>
    <r>
      <rPr>
        <b/>
        <sz val="11"/>
        <color theme="1"/>
        <rFont val="Calibri"/>
        <family val="2"/>
        <scheme val="minor"/>
      </rPr>
      <t>x</t>
    </r>
  </si>
  <si>
    <t>=H'E'Q'</t>
  </si>
  <si>
    <r>
      <t xml:space="preserve">CG rotation </t>
    </r>
    <r>
      <rPr>
        <b/>
        <sz val="11"/>
        <color theme="1"/>
        <rFont val="Calibri"/>
        <family val="2"/>
        <scheme val="minor"/>
      </rPr>
      <t>around</t>
    </r>
    <r>
      <rPr>
        <sz val="11"/>
        <color theme="1"/>
        <rFont val="Calibri"/>
        <family val="2"/>
        <scheme val="minor"/>
      </rPr>
      <t xml:space="preserve"> y axis</t>
    </r>
  </si>
  <si>
    <r>
      <t xml:space="preserve">CG roll </t>
    </r>
    <r>
      <rPr>
        <b/>
        <sz val="11"/>
        <color theme="1"/>
        <rFont val="Calibri"/>
        <family val="2"/>
        <scheme val="minor"/>
      </rPr>
      <t>y</t>
    </r>
  </si>
  <si>
    <r>
      <t xml:space="preserve">CG rotation </t>
    </r>
    <r>
      <rPr>
        <b/>
        <sz val="11"/>
        <color theme="1"/>
        <rFont val="Calibri"/>
        <family val="2"/>
        <scheme val="minor"/>
      </rPr>
      <t>around</t>
    </r>
    <r>
      <rPr>
        <sz val="11"/>
        <color theme="1"/>
        <rFont val="Calibri"/>
        <family val="2"/>
        <scheme val="minor"/>
      </rPr>
      <t xml:space="preserve"> x axis</t>
    </r>
  </si>
  <si>
    <t>OH</t>
  </si>
  <si>
    <t>=h</t>
  </si>
  <si>
    <r>
      <rPr>
        <b/>
        <sz val="11"/>
        <color rgb="FFFF0066"/>
        <rFont val="Calibri"/>
        <family val="2"/>
        <scheme val="minor"/>
      </rPr>
      <t>Receiver</t>
    </r>
    <r>
      <rPr>
        <sz val="11"/>
        <color theme="1"/>
        <rFont val="Calibri"/>
        <family val="2"/>
        <scheme val="minor"/>
      </rPr>
      <t xml:space="preserve"> pyramid along x axes</t>
    </r>
  </si>
  <si>
    <r>
      <rPr>
        <b/>
        <sz val="11"/>
        <color rgb="FFFF0066"/>
        <rFont val="Calibri"/>
        <family val="2"/>
        <scheme val="minor"/>
      </rPr>
      <t>Receiver</t>
    </r>
    <r>
      <rPr>
        <sz val="11"/>
        <color theme="1"/>
        <rFont val="Calibri"/>
        <family val="2"/>
        <scheme val="minor"/>
      </rPr>
      <t xml:space="preserve"> pyramid along y axes</t>
    </r>
  </si>
  <si>
    <t>HH'</t>
  </si>
  <si>
    <r>
      <t>=h</t>
    </r>
    <r>
      <rPr>
        <vertAlign val="subscript"/>
        <sz val="11"/>
        <color theme="1"/>
        <rFont val="Calibri"/>
        <family val="2"/>
        <scheme val="minor"/>
      </rPr>
      <t>R</t>
    </r>
  </si>
  <si>
    <r>
      <t>=h+h</t>
    </r>
    <r>
      <rPr>
        <vertAlign val="subscript"/>
        <sz val="11"/>
        <color theme="1"/>
        <rFont val="Calibri"/>
        <family val="2"/>
        <scheme val="minor"/>
      </rPr>
      <t>R</t>
    </r>
  </si>
  <si>
    <t>H'Q</t>
  </si>
  <si>
    <r>
      <t>=h</t>
    </r>
    <r>
      <rPr>
        <vertAlign val="subscript"/>
        <sz val="11"/>
        <color theme="1"/>
        <rFont val="Calibri"/>
        <family val="2"/>
        <scheme val="minor"/>
      </rPr>
      <t>Rx</t>
    </r>
  </si>
  <si>
    <t>QH</t>
  </si>
  <si>
    <r>
      <t>=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Ry</t>
    </r>
  </si>
  <si>
    <t>OQ</t>
  </si>
  <si>
    <t>=OH+QH</t>
  </si>
  <si>
    <t>E'O</t>
  </si>
  <si>
    <t>=OH'*sin(E'H'Q)/sin(OE'H')</t>
  </si>
  <si>
    <t>I'O</t>
  </si>
  <si>
    <t>=OH'*sin(I'H'S)/sin(OI'H')</t>
  </si>
  <si>
    <t>G'O</t>
  </si>
  <si>
    <t>=OH'*sin(OH'G')/sin(E'G'O)</t>
  </si>
  <si>
    <t>F'O</t>
  </si>
  <si>
    <t>=OH'*sin(OH'F')/sin(I'F'O)</t>
  </si>
  <si>
    <t>E'H'</t>
  </si>
  <si>
    <t>=OH'*sin(FoVx)/sin(E'G'O)</t>
  </si>
  <si>
    <t>I'H'</t>
  </si>
  <si>
    <t>=OH'*sin(FoVy)/sin(OI'H')</t>
  </si>
  <si>
    <t>H'G'</t>
  </si>
  <si>
    <t>H'F'</t>
  </si>
  <si>
    <t>=OH'*sin(FoVy)/sin(I'F'O)</t>
  </si>
  <si>
    <t>UO</t>
  </si>
  <si>
    <t>=OQ*sin(OQU)/sin(180-FoVy/2-OQU)</t>
  </si>
  <si>
    <t>PO</t>
  </si>
  <si>
    <t>=OQ*sin(PQO)/sin(OPQ)</t>
  </si>
  <si>
    <t>=H'O*SIN(90+CG roll)/SIN(OF'H')</t>
  </si>
  <si>
    <t>=H'O*SIN(OH'I')/SIN(OI'H')</t>
  </si>
  <si>
    <t>F'P</t>
  </si>
  <si>
    <t>=F'O-PO</t>
  </si>
  <si>
    <t>&gt; H'Q (ok!)</t>
  </si>
  <si>
    <t>I'U</t>
  </si>
  <si>
    <t>=I'O-UO</t>
  </si>
  <si>
    <t>SO = WO</t>
  </si>
  <si>
    <t>=OQ / COS(FoVx/2)</t>
  </si>
  <si>
    <t>S1Q</t>
  </si>
  <si>
    <r>
      <t>=X</t>
    </r>
    <r>
      <rPr>
        <vertAlign val="subscript"/>
        <sz val="11"/>
        <color theme="1"/>
        <rFont val="Calibri"/>
        <family val="2"/>
        <scheme val="minor"/>
      </rPr>
      <t xml:space="preserve">R </t>
    </r>
    <r>
      <rPr>
        <sz val="11"/>
        <color theme="1"/>
        <rFont val="Calibri"/>
        <family val="2"/>
        <scheme val="minor"/>
      </rPr>
      <t>= R1P = T1U</t>
    </r>
  </si>
  <si>
    <t>SQ</t>
  </si>
  <si>
    <t>=QO*Tg(FoVx/2)</t>
  </si>
  <si>
    <t>S1S</t>
  </si>
  <si>
    <t>=S1Q-SQ</t>
  </si>
  <si>
    <t>QW</t>
  </si>
  <si>
    <t>=SQ</t>
  </si>
  <si>
    <t>S1W</t>
  </si>
  <si>
    <t>=S1Q+QW</t>
  </si>
  <si>
    <t>RP</t>
  </si>
  <si>
    <t>=PO*Tg(FoVx/2)</t>
  </si>
  <si>
    <t>R1R</t>
  </si>
  <si>
    <t>=R1P-RP</t>
  </si>
  <si>
    <t>PZ</t>
  </si>
  <si>
    <t>=RP</t>
  </si>
  <si>
    <t>R1Z</t>
  </si>
  <si>
    <t>=R1P+PZ</t>
  </si>
  <si>
    <t>TU</t>
  </si>
  <si>
    <t>=UO*Tg(FoVx/2)</t>
  </si>
  <si>
    <t>T1T</t>
  </si>
  <si>
    <t>=T1U-TU</t>
  </si>
  <si>
    <t>UV</t>
  </si>
  <si>
    <t>=TU</t>
  </si>
  <si>
    <t>T1V</t>
  </si>
  <si>
    <t>=T1U+UV</t>
  </si>
  <si>
    <t>E'OH'</t>
  </si>
  <si>
    <t>FoVx/2</t>
  </si>
  <si>
    <t>=H'OG'</t>
  </si>
  <si>
    <t>I'OH'</t>
  </si>
  <si>
    <t>FoVy/2</t>
  </si>
  <si>
    <t>H'E'Q'</t>
  </si>
  <si>
    <t>=CG pitch</t>
  </si>
  <si>
    <t>H'I'Q'</t>
  </si>
  <si>
    <t>=CG roll</t>
  </si>
  <si>
    <t>E'H'Q</t>
  </si>
  <si>
    <t>=180-90-CG pitch</t>
  </si>
  <si>
    <t>see triangle E'H'Q</t>
  </si>
  <si>
    <t>I'H'Q</t>
  </si>
  <si>
    <t>OE'H'</t>
  </si>
  <si>
    <t>=180-E'OH'-E'H'O</t>
  </si>
  <si>
    <t>OI'H'</t>
  </si>
  <si>
    <t>=180-I'OH'-I'H'O</t>
  </si>
  <si>
    <t>E'G'O</t>
  </si>
  <si>
    <t>=180-FoVx-OE'H'</t>
  </si>
  <si>
    <t>I'F'O</t>
  </si>
  <si>
    <t>=180-FoVy-OI'H'</t>
  </si>
  <si>
    <t>OH'G'</t>
  </si>
  <si>
    <t>=180-E'H'O</t>
  </si>
  <si>
    <t>OH'F'</t>
  </si>
  <si>
    <t>=180-I'H'O</t>
  </si>
  <si>
    <t>H'E'A</t>
  </si>
  <si>
    <t>=90</t>
  </si>
  <si>
    <t>H'I'A</t>
  </si>
  <si>
    <t>OQU</t>
  </si>
  <si>
    <t>=90-CG roll</t>
  </si>
  <si>
    <t>PQO</t>
  </si>
  <si>
    <t>=90+CG roll</t>
  </si>
  <si>
    <t>OPQ</t>
  </si>
  <si>
    <t>=180-PQO-FoVy/2</t>
  </si>
  <si>
    <t>OF'H'</t>
  </si>
  <si>
    <t>=180-FoVy/2-(90+CG roll)</t>
  </si>
  <si>
    <t>OH'I'</t>
  </si>
  <si>
    <t>=180-OH'I'-FoVy/2</t>
  </si>
  <si>
    <t>H'QS</t>
  </si>
  <si>
    <t>S1WG'</t>
  </si>
  <si>
    <t>=90+FoVx/2</t>
  </si>
  <si>
    <t>S1G'W</t>
  </si>
  <si>
    <t>=180-CG pitch-S1WG'</t>
  </si>
  <si>
    <t>R1C'Z = T1D'V</t>
  </si>
  <si>
    <r>
      <t>=180-CG pitch-(90+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)</t>
    </r>
  </si>
  <si>
    <r>
      <rPr>
        <b/>
        <sz val="11"/>
        <color rgb="FFFF0066"/>
        <rFont val="Calibri"/>
        <family val="2"/>
        <scheme val="minor"/>
      </rPr>
      <t>Transimmer</t>
    </r>
    <r>
      <rPr>
        <sz val="11"/>
        <color theme="1"/>
        <rFont val="Calibri"/>
        <family val="2"/>
        <scheme val="minor"/>
      </rPr>
      <t xml:space="preserve"> pyramid along x axes</t>
    </r>
  </si>
  <si>
    <r>
      <rPr>
        <b/>
        <sz val="11"/>
        <color rgb="FFFF0066"/>
        <rFont val="Calibri"/>
        <family val="2"/>
        <scheme val="minor"/>
      </rPr>
      <t>Transmitter</t>
    </r>
    <r>
      <rPr>
        <sz val="11"/>
        <color theme="1"/>
        <rFont val="Calibri"/>
        <family val="2"/>
        <scheme val="minor"/>
      </rPr>
      <t xml:space="preserve"> pyramid along y axes</t>
    </r>
  </si>
  <si>
    <r>
      <t>=h</t>
    </r>
    <r>
      <rPr>
        <vertAlign val="subscript"/>
        <sz val="11"/>
        <color theme="1"/>
        <rFont val="Calibri"/>
        <family val="2"/>
        <scheme val="minor"/>
      </rPr>
      <t>T</t>
    </r>
  </si>
  <si>
    <r>
      <t>=h</t>
    </r>
    <r>
      <rPr>
        <vertAlign val="subscript"/>
        <sz val="11"/>
        <color theme="1"/>
        <rFont val="Calibri"/>
        <family val="2"/>
        <scheme val="minor"/>
      </rPr>
      <t>Tx</t>
    </r>
  </si>
  <si>
    <r>
      <t>=h</t>
    </r>
    <r>
      <rPr>
        <vertAlign val="subscript"/>
        <sz val="11"/>
        <color theme="1"/>
        <rFont val="Calibri"/>
        <family val="2"/>
        <scheme val="minor"/>
      </rPr>
      <t>Ty</t>
    </r>
  </si>
  <si>
    <t xml:space="preserve">Snell law </t>
  </si>
  <si>
    <t>n</t>
  </si>
  <si>
    <t>= D1</t>
  </si>
  <si>
    <t>= D2</t>
  </si>
  <si>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  <scheme val="minor"/>
      </rPr>
      <t>1A</t>
    </r>
  </si>
  <si>
    <t>=90 - OA'H</t>
  </si>
  <si>
    <t>incidence angle to the CG</t>
  </si>
  <si>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  <scheme val="minor"/>
      </rPr>
      <t>1B</t>
    </r>
  </si>
  <si>
    <t>=90 - OB'H</t>
  </si>
  <si>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  <scheme val="minor"/>
      </rPr>
      <t>1C</t>
    </r>
  </si>
  <si>
    <t>=90 - OC'H</t>
  </si>
  <si>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  <scheme val="minor"/>
      </rPr>
      <t>1D</t>
    </r>
  </si>
  <si>
    <t>=90 - OD'H</t>
  </si>
  <si>
    <r>
      <t>n</t>
    </r>
    <r>
      <rPr>
        <vertAlign val="subscript"/>
        <sz val="11"/>
        <color theme="1"/>
        <rFont val="Calibri"/>
        <family val="2"/>
        <scheme val="minor"/>
      </rPr>
      <t>AG</t>
    </r>
    <r>
      <rPr>
        <sz val="11"/>
        <color theme="1"/>
        <rFont val="Calibri"/>
        <family val="2"/>
        <scheme val="minor"/>
      </rPr>
      <t>/n</t>
    </r>
    <r>
      <rPr>
        <vertAlign val="subscript"/>
        <sz val="11"/>
        <color theme="1"/>
        <rFont val="Calibri"/>
        <family val="2"/>
        <scheme val="minor"/>
      </rPr>
      <t>CG</t>
    </r>
  </si>
  <si>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  <scheme val="minor"/>
      </rPr>
      <t>2A</t>
    </r>
  </si>
  <si>
    <r>
      <t>=ASIN[ n</t>
    </r>
    <r>
      <rPr>
        <vertAlign val="subscript"/>
        <sz val="11"/>
        <color theme="1"/>
        <rFont val="Calibri"/>
        <family val="2"/>
        <scheme val="minor"/>
      </rPr>
      <t>AG</t>
    </r>
    <r>
      <rPr>
        <sz val="11"/>
        <color theme="1"/>
        <rFont val="Calibri"/>
        <family val="2"/>
        <scheme val="minor"/>
      </rPr>
      <t>/n</t>
    </r>
    <r>
      <rPr>
        <vertAlign val="subscript"/>
        <sz val="11"/>
        <color theme="1"/>
        <rFont val="Calibri"/>
        <family val="2"/>
        <scheme val="minor"/>
      </rPr>
      <t xml:space="preserve">CG </t>
    </r>
    <r>
      <rPr>
        <sz val="11"/>
        <color theme="1"/>
        <rFont val="Calibri"/>
        <family val="2"/>
        <scheme val="minor"/>
      </rPr>
      <t>*SIN(</t>
    </r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  <scheme val="minor"/>
      </rPr>
      <t>1A</t>
    </r>
    <r>
      <rPr>
        <sz val="11"/>
        <color theme="1"/>
        <rFont val="Calibri"/>
        <family val="2"/>
        <scheme val="minor"/>
      </rPr>
      <t>) ]</t>
    </r>
  </si>
  <si>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  <scheme val="minor"/>
      </rPr>
      <t>2B</t>
    </r>
  </si>
  <si>
    <r>
      <t>=ASIN[ n</t>
    </r>
    <r>
      <rPr>
        <vertAlign val="subscript"/>
        <sz val="11"/>
        <color theme="1"/>
        <rFont val="Calibri"/>
        <family val="2"/>
        <scheme val="minor"/>
      </rPr>
      <t>AG</t>
    </r>
    <r>
      <rPr>
        <sz val="11"/>
        <color theme="1"/>
        <rFont val="Calibri"/>
        <family val="2"/>
        <scheme val="minor"/>
      </rPr>
      <t>/n</t>
    </r>
    <r>
      <rPr>
        <vertAlign val="subscript"/>
        <sz val="11"/>
        <color theme="1"/>
        <rFont val="Calibri"/>
        <family val="2"/>
        <scheme val="minor"/>
      </rPr>
      <t xml:space="preserve">CG </t>
    </r>
    <r>
      <rPr>
        <sz val="11"/>
        <color theme="1"/>
        <rFont val="Calibri"/>
        <family val="2"/>
        <scheme val="minor"/>
      </rPr>
      <t>*SIN(</t>
    </r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  <scheme val="minor"/>
      </rPr>
      <t>1B</t>
    </r>
    <r>
      <rPr>
        <sz val="11"/>
        <color theme="1"/>
        <rFont val="Calibri"/>
        <family val="2"/>
        <scheme val="minor"/>
      </rPr>
      <t>) ]</t>
    </r>
  </si>
  <si>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  <scheme val="minor"/>
      </rPr>
      <t>2C</t>
    </r>
  </si>
  <si>
    <r>
      <t>=ASIN[ n</t>
    </r>
    <r>
      <rPr>
        <vertAlign val="subscript"/>
        <sz val="11"/>
        <color theme="1"/>
        <rFont val="Calibri"/>
        <family val="2"/>
        <scheme val="minor"/>
      </rPr>
      <t>AG</t>
    </r>
    <r>
      <rPr>
        <sz val="11"/>
        <color theme="1"/>
        <rFont val="Calibri"/>
        <family val="2"/>
        <scheme val="minor"/>
      </rPr>
      <t>/n</t>
    </r>
    <r>
      <rPr>
        <vertAlign val="subscript"/>
        <sz val="11"/>
        <color theme="1"/>
        <rFont val="Calibri"/>
        <family val="2"/>
        <scheme val="minor"/>
      </rPr>
      <t xml:space="preserve">CG </t>
    </r>
    <r>
      <rPr>
        <sz val="11"/>
        <color theme="1"/>
        <rFont val="Calibri"/>
        <family val="2"/>
        <scheme val="minor"/>
      </rPr>
      <t>*SIN(</t>
    </r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  <scheme val="minor"/>
      </rPr>
      <t>1C</t>
    </r>
    <r>
      <rPr>
        <sz val="11"/>
        <color theme="1"/>
        <rFont val="Calibri"/>
        <family val="2"/>
        <scheme val="minor"/>
      </rPr>
      <t>) ]</t>
    </r>
  </si>
  <si>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  <scheme val="minor"/>
      </rPr>
      <t>2D</t>
    </r>
  </si>
  <si>
    <r>
      <t>=ASIN[ n</t>
    </r>
    <r>
      <rPr>
        <vertAlign val="subscript"/>
        <sz val="11"/>
        <color theme="1"/>
        <rFont val="Calibri"/>
        <family val="2"/>
        <scheme val="minor"/>
      </rPr>
      <t>AG</t>
    </r>
    <r>
      <rPr>
        <sz val="11"/>
        <color theme="1"/>
        <rFont val="Calibri"/>
        <family val="2"/>
        <scheme val="minor"/>
      </rPr>
      <t>/n</t>
    </r>
    <r>
      <rPr>
        <vertAlign val="subscript"/>
        <sz val="11"/>
        <color theme="1"/>
        <rFont val="Calibri"/>
        <family val="2"/>
        <scheme val="minor"/>
      </rPr>
      <t xml:space="preserve">CG </t>
    </r>
    <r>
      <rPr>
        <sz val="11"/>
        <color theme="1"/>
        <rFont val="Calibri"/>
        <family val="2"/>
        <scheme val="minor"/>
      </rPr>
      <t>*SIN(</t>
    </r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  <scheme val="minor"/>
      </rPr>
      <t>1D</t>
    </r>
    <r>
      <rPr>
        <sz val="11"/>
        <color theme="1"/>
        <rFont val="Calibri"/>
        <family val="2"/>
        <scheme val="minor"/>
      </rPr>
      <t>) ]</t>
    </r>
  </si>
  <si>
    <r>
      <t>d</t>
    </r>
    <r>
      <rPr>
        <vertAlign val="subscript"/>
        <sz val="11"/>
        <color theme="1"/>
        <rFont val="Calibri"/>
        <family val="2"/>
        <scheme val="minor"/>
      </rPr>
      <t>A</t>
    </r>
  </si>
  <si>
    <r>
      <t>= CG thickness * Tg(</t>
    </r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</rPr>
      <t>2A</t>
    </r>
    <r>
      <rPr>
        <sz val="11"/>
        <color theme="1"/>
        <rFont val="Calibri"/>
        <family val="2"/>
        <scheme val="minor"/>
      </rPr>
      <t>)</t>
    </r>
  </si>
  <si>
    <r>
      <t>d</t>
    </r>
    <r>
      <rPr>
        <vertAlign val="subscript"/>
        <sz val="11"/>
        <color theme="1"/>
        <rFont val="Calibri"/>
        <family val="2"/>
        <scheme val="minor"/>
      </rPr>
      <t>B</t>
    </r>
  </si>
  <si>
    <r>
      <t>= CG thickness * Tg(</t>
    </r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</rPr>
      <t>2B</t>
    </r>
    <r>
      <rPr>
        <sz val="11"/>
        <color theme="1"/>
        <rFont val="Calibri"/>
        <family val="2"/>
        <scheme val="minor"/>
      </rPr>
      <t>)</t>
    </r>
  </si>
  <si>
    <r>
      <t>d</t>
    </r>
    <r>
      <rPr>
        <vertAlign val="subscript"/>
        <sz val="11"/>
        <color theme="1"/>
        <rFont val="Calibri"/>
        <family val="2"/>
        <scheme val="minor"/>
      </rPr>
      <t>C</t>
    </r>
  </si>
  <si>
    <r>
      <t>= CG thickness * Tg(</t>
    </r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</rPr>
      <t>2C</t>
    </r>
    <r>
      <rPr>
        <sz val="11"/>
        <color theme="1"/>
        <rFont val="Calibri"/>
        <family val="2"/>
        <scheme val="minor"/>
      </rPr>
      <t>)</t>
    </r>
  </si>
  <si>
    <r>
      <t>d</t>
    </r>
    <r>
      <rPr>
        <vertAlign val="subscript"/>
        <sz val="11"/>
        <color theme="1"/>
        <rFont val="Calibri"/>
        <family val="2"/>
        <scheme val="minor"/>
      </rPr>
      <t>D</t>
    </r>
  </si>
  <si>
    <r>
      <t>= CG thickness * Tg(</t>
    </r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</rPr>
      <t>2D</t>
    </r>
    <r>
      <rPr>
        <sz val="11"/>
        <color theme="1"/>
        <rFont val="Calibri"/>
        <family val="2"/>
        <scheme val="minor"/>
      </rPr>
      <t>)</t>
    </r>
  </si>
  <si>
    <t>Dd1</t>
  </si>
  <si>
    <r>
      <t>=D1 + d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+ d</t>
    </r>
    <r>
      <rPr>
        <vertAlign val="subscript"/>
        <sz val="11"/>
        <color theme="1"/>
        <rFont val="Calibri"/>
        <family val="2"/>
        <scheme val="minor"/>
      </rPr>
      <t>C</t>
    </r>
  </si>
  <si>
    <t>Dd2</t>
  </si>
  <si>
    <r>
      <t>=D2 + d</t>
    </r>
    <r>
      <rPr>
        <vertAlign val="sub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+ d</t>
    </r>
    <r>
      <rPr>
        <vertAlign val="subscript"/>
        <sz val="11"/>
        <color theme="1"/>
        <rFont val="Calibri"/>
        <family val="2"/>
        <scheme val="minor"/>
      </rPr>
      <t>D</t>
    </r>
  </si>
  <si>
    <t>Rank</t>
  </si>
  <si>
    <t>C1</t>
  </si>
  <si>
    <t>H'C1</t>
  </si>
  <si>
    <r>
      <t>= H'C' + d</t>
    </r>
    <r>
      <rPr>
        <vertAlign val="subscript"/>
        <sz val="11"/>
        <color theme="1"/>
        <rFont val="Calibri"/>
        <family val="2"/>
        <scheme val="minor"/>
      </rPr>
      <t>C</t>
    </r>
  </si>
  <si>
    <t>A1</t>
  </si>
  <si>
    <t>H'A1</t>
  </si>
  <si>
    <r>
      <t>= H'A' + d</t>
    </r>
    <r>
      <rPr>
        <vertAlign val="subscript"/>
        <sz val="11"/>
        <color theme="1"/>
        <rFont val="Calibri"/>
        <family val="2"/>
        <scheme val="minor"/>
      </rPr>
      <t>A</t>
    </r>
  </si>
  <si>
    <t>B1</t>
  </si>
  <si>
    <t>H'B1</t>
  </si>
  <si>
    <r>
      <t>= H'B' + d</t>
    </r>
    <r>
      <rPr>
        <vertAlign val="subscript"/>
        <sz val="11"/>
        <color theme="1"/>
        <rFont val="Calibri"/>
        <family val="2"/>
        <scheme val="minor"/>
      </rPr>
      <t>B</t>
    </r>
  </si>
  <si>
    <t>H'D1</t>
  </si>
  <si>
    <r>
      <t>= H'D' + d</t>
    </r>
    <r>
      <rPr>
        <vertAlign val="subscript"/>
        <sz val="11"/>
        <color theme="1"/>
        <rFont val="Calibri"/>
        <family val="2"/>
        <scheme val="minor"/>
      </rPr>
      <t>D</t>
    </r>
  </si>
  <si>
    <t>xH'C'</t>
  </si>
  <si>
    <r>
      <t xml:space="preserve">= 90 - </t>
    </r>
    <r>
      <rPr>
        <sz val="11"/>
        <color theme="1"/>
        <rFont val="Symbol"/>
        <family val="1"/>
        <charset val="2"/>
      </rPr>
      <t>w</t>
    </r>
  </si>
  <si>
    <t>referring to FIG2</t>
  </si>
  <si>
    <t>xH'B'</t>
  </si>
  <si>
    <r>
      <t xml:space="preserve">= 90 + </t>
    </r>
    <r>
      <rPr>
        <sz val="11"/>
        <color theme="1"/>
        <rFont val="Symbol"/>
        <family val="1"/>
        <charset val="2"/>
      </rPr>
      <t>w</t>
    </r>
  </si>
  <si>
    <t>xH'A'</t>
  </si>
  <si>
    <r>
      <t xml:space="preserve">= 270 - </t>
    </r>
    <r>
      <rPr>
        <sz val="11"/>
        <color theme="1"/>
        <rFont val="Symbol"/>
        <family val="1"/>
        <charset val="2"/>
      </rPr>
      <t>w</t>
    </r>
  </si>
  <si>
    <t>xH'D'</t>
  </si>
  <si>
    <r>
      <t xml:space="preserve">= 270 + </t>
    </r>
    <r>
      <rPr>
        <sz val="11"/>
        <color theme="1"/>
        <rFont val="Symbol"/>
        <family val="1"/>
        <charset val="2"/>
      </rPr>
      <t>w</t>
    </r>
  </si>
  <si>
    <t>All Coordinates</t>
  </si>
  <si>
    <t>x</t>
  </si>
  <si>
    <t>y</t>
  </si>
  <si>
    <t>Three points circle</t>
  </si>
  <si>
    <t>Coordinates</t>
  </si>
  <si>
    <t>Center Cc</t>
  </si>
  <si>
    <t>Radius</t>
  </si>
  <si>
    <t>Center</t>
  </si>
  <si>
    <t>B35:C35: =TRANSPOSE(MMULT(MINVERSE(2*(B33:C34 - B$32:C$32)), MMULT(B33:C34^2 - B$32:C$32^2, {1;1})))</t>
  </si>
  <si>
    <t>B36: =SQRT(SUMPRODUCT((B32:C32 - B35:C35)^2))</t>
  </si>
  <si>
    <t>Final_center</t>
  </si>
  <si>
    <t>Final_radius</t>
  </si>
  <si>
    <t>Rectangle sides length</t>
  </si>
  <si>
    <t>Coordinate of the new rectagle</t>
  </si>
  <si>
    <t>Rectagle center coordinates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</si>
</sst>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0000000000000000"/>
  </numFmts>
  <fonts count="3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FF0066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theme="1"/>
      <name val="Symbol"/>
      <family val="1"/>
      <charset val="2"/>
    </font>
    <font>
      <sz val="10"/>
      <color theme="1"/>
      <name val="Calibri"/>
      <family val="2"/>
      <scheme val="minor"/>
    </font>
    <font>
      <sz val="10"/>
      <color theme="4"/>
      <name val="Calibri"/>
      <family val="2"/>
      <scheme val="minor"/>
    </font>
    <font>
      <sz val="10"/>
      <color rgb="FFFF0066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rgb="FF7030A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bscript"/>
      <sz val="12"/>
      <color rgb="FF000000"/>
      <name val="Calibri"/>
      <family val="2"/>
      <scheme val="minor"/>
    </font>
    <font>
      <b/>
      <vertAlign val="subscript"/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vertAlign val="subscript"/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5" fillId="0" borderId="28" applyNumberFormat="0" applyFill="0" applyAlignment="0" applyProtection="0"/>
    <xf numFmtId="0" fontId="26" fillId="0" borderId="29" applyNumberFormat="0" applyFill="0" applyAlignment="0" applyProtection="0"/>
    <xf numFmtId="0" fontId="27" fillId="0" borderId="30" applyNumberFormat="0" applyFill="0" applyAlignment="0" applyProtection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0" fillId="0" borderId="0" xfId="0" quotePrefix="1"/>
    <xf numFmtId="0" fontId="9" fillId="0" borderId="0" xfId="0" applyFont="1"/>
    <xf numFmtId="0" fontId="9" fillId="0" borderId="0" xfId="0" quotePrefix="1" applyFont="1"/>
    <xf numFmtId="0" fontId="10" fillId="0" borderId="0" xfId="0" quotePrefix="1" applyFont="1"/>
    <xf numFmtId="0" fontId="11" fillId="0" borderId="0" xfId="0" quotePrefix="1" applyFont="1"/>
    <xf numFmtId="0" fontId="14" fillId="0" borderId="0" xfId="0" quotePrefix="1" applyFont="1"/>
    <xf numFmtId="0" fontId="12" fillId="0" borderId="0" xfId="0" quotePrefix="1" applyFont="1"/>
    <xf numFmtId="0" fontId="13" fillId="0" borderId="0" xfId="0" quotePrefix="1" applyFont="1"/>
    <xf numFmtId="0" fontId="0" fillId="0" borderId="1" xfId="0" applyBorder="1"/>
    <xf numFmtId="0" fontId="9" fillId="0" borderId="2" xfId="0" applyFont="1" applyBorder="1"/>
    <xf numFmtId="0" fontId="0" fillId="3" borderId="3" xfId="0" applyFill="1" applyBorder="1"/>
    <xf numFmtId="0" fontId="0" fillId="0" borderId="4" xfId="0" applyBorder="1"/>
    <xf numFmtId="0" fontId="9" fillId="0" borderId="5" xfId="0" applyFont="1" applyBorder="1"/>
    <xf numFmtId="0" fontId="0" fillId="3" borderId="6" xfId="0" applyFill="1" applyBorder="1"/>
    <xf numFmtId="0" fontId="2" fillId="0" borderId="7" xfId="0" applyFont="1" applyBorder="1"/>
    <xf numFmtId="0" fontId="9" fillId="0" borderId="8" xfId="0" quotePrefix="1" applyFont="1" applyBorder="1"/>
    <xf numFmtId="0" fontId="0" fillId="3" borderId="9" xfId="0" applyFill="1" applyBorder="1"/>
    <xf numFmtId="0" fontId="0" fillId="0" borderId="0" xfId="0" quotePrefix="1" applyAlignment="1">
      <alignment horizontal="left"/>
    </xf>
    <xf numFmtId="0" fontId="8" fillId="0" borderId="0" xfId="0" quotePrefix="1" applyFont="1"/>
    <xf numFmtId="0" fontId="0" fillId="4" borderId="0" xfId="0" applyFill="1"/>
    <xf numFmtId="0" fontId="0" fillId="4" borderId="0" xfId="0" quotePrefix="1" applyFill="1"/>
    <xf numFmtId="0" fontId="8" fillId="0" borderId="0" xfId="0" applyFont="1"/>
    <xf numFmtId="0" fontId="8" fillId="0" borderId="0" xfId="0" applyFont="1" applyAlignment="1">
      <alignment horizontal="center"/>
    </xf>
    <xf numFmtId="0" fontId="19" fillId="0" borderId="0" xfId="0" applyFont="1"/>
    <xf numFmtId="0" fontId="2" fillId="2" borderId="0" xfId="0" applyFont="1" applyFill="1"/>
    <xf numFmtId="0" fontId="2" fillId="0" borderId="10" xfId="0" applyFon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2" borderId="13" xfId="0" applyFont="1" applyFill="1" applyBorder="1"/>
    <xf numFmtId="0" fontId="2" fillId="2" borderId="15" xfId="0" applyFont="1" applyFill="1" applyBorder="1"/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4" fillId="0" borderId="13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0" fillId="0" borderId="16" xfId="0" applyBorder="1" applyAlignment="1">
      <alignment horizontal="center"/>
    </xf>
    <xf numFmtId="0" fontId="2" fillId="0" borderId="13" xfId="0" applyFont="1" applyBorder="1"/>
    <xf numFmtId="165" fontId="0" fillId="0" borderId="0" xfId="0" applyNumberFormat="1"/>
    <xf numFmtId="0" fontId="0" fillId="5" borderId="0" xfId="0" applyFill="1"/>
    <xf numFmtId="0" fontId="2" fillId="5" borderId="0" xfId="0" applyFont="1" applyFill="1"/>
    <xf numFmtId="0" fontId="0" fillId="0" borderId="24" xfId="0" applyBorder="1"/>
    <xf numFmtId="0" fontId="2" fillId="0" borderId="25" xfId="0" applyFont="1" applyBorder="1"/>
    <xf numFmtId="0" fontId="2" fillId="0" borderId="24" xfId="0" applyFont="1" applyBorder="1" applyAlignment="1">
      <alignment wrapText="1"/>
    </xf>
    <xf numFmtId="2" fontId="2" fillId="2" borderId="0" xfId="0" applyNumberFormat="1" applyFont="1" applyFill="1"/>
    <xf numFmtId="2" fontId="0" fillId="2" borderId="14" xfId="0" applyNumberFormat="1" applyFill="1" applyBorder="1"/>
    <xf numFmtId="2" fontId="0" fillId="0" borderId="0" xfId="0" applyNumberFormat="1"/>
    <xf numFmtId="2" fontId="2" fillId="2" borderId="13" xfId="0" applyNumberFormat="1" applyFont="1" applyFill="1" applyBorder="1"/>
    <xf numFmtId="2" fontId="0" fillId="2" borderId="0" xfId="0" applyNumberFormat="1" applyFill="1" applyAlignment="1">
      <alignment horizontal="center"/>
    </xf>
    <xf numFmtId="2" fontId="0" fillId="2" borderId="0" xfId="0" applyNumberFormat="1" applyFill="1"/>
    <xf numFmtId="2" fontId="2" fillId="2" borderId="25" xfId="0" applyNumberFormat="1" applyFont="1" applyFill="1" applyBorder="1"/>
    <xf numFmtId="2" fontId="2" fillId="0" borderId="0" xfId="0" applyNumberFormat="1" applyFont="1"/>
    <xf numFmtId="2" fontId="0" fillId="0" borderId="14" xfId="0" applyNumberFormat="1" applyBorder="1"/>
    <xf numFmtId="2" fontId="4" fillId="0" borderId="13" xfId="0" applyNumberFormat="1" applyFont="1" applyBorder="1"/>
    <xf numFmtId="2" fontId="0" fillId="0" borderId="0" xfId="0" applyNumberFormat="1" applyAlignment="1">
      <alignment horizontal="center"/>
    </xf>
    <xf numFmtId="2" fontId="2" fillId="0" borderId="25" xfId="0" applyNumberFormat="1" applyFont="1" applyBorder="1"/>
    <xf numFmtId="2" fontId="2" fillId="2" borderId="16" xfId="0" applyNumberFormat="1" applyFont="1" applyFill="1" applyBorder="1"/>
    <xf numFmtId="2" fontId="0" fillId="2" borderId="17" xfId="0" applyNumberFormat="1" applyFill="1" applyBorder="1"/>
    <xf numFmtId="2" fontId="2" fillId="2" borderId="15" xfId="0" applyNumberFormat="1" applyFont="1" applyFill="1" applyBorder="1"/>
    <xf numFmtId="2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2" fontId="2" fillId="2" borderId="26" xfId="0" applyNumberFormat="1" applyFont="1" applyFill="1" applyBorder="1"/>
    <xf numFmtId="0" fontId="0" fillId="0" borderId="5" xfId="0" quotePrefix="1" applyBorder="1"/>
    <xf numFmtId="0" fontId="17" fillId="0" borderId="8" xfId="0" applyFont="1" applyBorder="1"/>
    <xf numFmtId="0" fontId="17" fillId="0" borderId="8" xfId="0" applyFont="1" applyBorder="1" applyAlignment="1">
      <alignment horizontal="center"/>
    </xf>
    <xf numFmtId="0" fontId="0" fillId="0" borderId="8" xfId="0" applyBorder="1"/>
    <xf numFmtId="0" fontId="22" fillId="0" borderId="0" xfId="0" applyFont="1"/>
    <xf numFmtId="0" fontId="17" fillId="0" borderId="0" xfId="0" applyFont="1" applyAlignment="1">
      <alignment horizontal="center"/>
    </xf>
    <xf numFmtId="0" fontId="0" fillId="0" borderId="34" xfId="0" applyBorder="1"/>
    <xf numFmtId="0" fontId="0" fillId="0" borderId="35" xfId="0" applyBorder="1"/>
    <xf numFmtId="0" fontId="30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textRotation="90"/>
    </xf>
    <xf numFmtId="0" fontId="30" fillId="0" borderId="0" xfId="0" applyFont="1"/>
    <xf numFmtId="164" fontId="30" fillId="0" borderId="0" xfId="0" applyNumberFormat="1" applyFont="1"/>
    <xf numFmtId="0" fontId="29" fillId="7" borderId="27" xfId="2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26" fillId="6" borderId="7" xfId="2" applyFill="1" applyBorder="1" applyAlignment="1">
      <alignment horizontal="center" vertical="center"/>
    </xf>
    <xf numFmtId="0" fontId="26" fillId="6" borderId="8" xfId="2" applyFill="1" applyBorder="1" applyAlignment="1">
      <alignment horizontal="center" vertical="center"/>
    </xf>
    <xf numFmtId="0" fontId="26" fillId="6" borderId="9" xfId="2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7" fillId="0" borderId="27" xfId="3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8" fillId="3" borderId="31" xfId="1" applyFont="1" applyFill="1" applyBorder="1" applyAlignment="1">
      <alignment horizontal="center" vertical="center"/>
    </xf>
    <xf numFmtId="0" fontId="28" fillId="3" borderId="32" xfId="1" applyFont="1" applyFill="1" applyBorder="1" applyAlignment="1">
      <alignment horizontal="center" vertical="center"/>
    </xf>
    <xf numFmtId="0" fontId="28" fillId="3" borderId="33" xfId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6" fillId="6" borderId="27" xfId="2" applyFill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14" fontId="0" fillId="0" borderId="27" xfId="0" applyNumberFormat="1" applyBorder="1" applyAlignment="1">
      <alignment horizontal="center" vertical="center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21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4">
    <cellStyle name="Heading 1" xfId="1" builtinId="16"/>
    <cellStyle name="Heading 2" xfId="2" builtinId="17"/>
    <cellStyle name="Heading 3" xfId="3" builtinId="18"/>
    <cellStyle name="Normal" xfId="0" builtinId="0"/>
  </cellStyles>
  <dxfs count="34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CCFF"/>
      <color rgb="FFFFFF99"/>
      <color rgb="FFFF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0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231913</xdr:colOff>
      <xdr:row>1</xdr:row>
      <xdr:rowOff>99391</xdr:rowOff>
    </xdr:from>
    <xdr:to>
      <xdr:col>14</xdr:col>
      <xdr:colOff>323895</xdr:colOff>
      <xdr:row>5</xdr:row>
      <xdr:rowOff>136275</xdr:rowOff>
    </xdr:to>
    <xdr:pic>
      <xdr:nvPicPr>
        <xdr:cNvPr id="2" name="Picture 1" descr="Home - STMicroelectronics">
          <a:extLst>
            <a:ext uri="{FF2B5EF4-FFF2-40B4-BE49-F238E27FC236}">
              <a16:creationId xmlns:a16="http://schemas.microsoft.com/office/drawing/2014/main" id="{44E8F4AC-30DB-4C63-8387-675707CAB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783" y="149087"/>
          <a:ext cx="1313998" cy="9852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102577</xdr:colOff>
      <xdr:row>6</xdr:row>
      <xdr:rowOff>146539</xdr:rowOff>
    </xdr:from>
    <xdr:to>
      <xdr:col>16</xdr:col>
      <xdr:colOff>293078</xdr:colOff>
      <xdr:row>10</xdr:row>
      <xdr:rowOff>124558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64821360-A506-4104-B66E-B2CD1D6F1903}"/>
            </a:ext>
          </a:extLst>
        </xdr:cNvPr>
        <xdr:cNvGrpSpPr/>
      </xdr:nvGrpSpPr>
      <xdr:grpSpPr>
        <a:xfrm>
          <a:off x="9560342" y="1379186"/>
          <a:ext cx="2610971" cy="784843"/>
          <a:chOff x="5336595" y="1886301"/>
          <a:chExt cx="3338482" cy="1139718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6F46AD3C-50AB-2A2C-A89E-7B9D2B0C70A5}"/>
              </a:ext>
            </a:extLst>
          </xdr:cNvPr>
          <xdr:cNvGrpSpPr/>
        </xdr:nvGrpSpPr>
        <xdr:grpSpPr>
          <a:xfrm>
            <a:off x="5336595" y="2018015"/>
            <a:ext cx="3338482" cy="1008004"/>
            <a:chOff x="1809763" y="2890995"/>
            <a:chExt cx="5672234" cy="3014506"/>
          </a:xfrm>
        </xdr:grpSpPr>
        <xdr:pic>
          <xdr:nvPicPr>
            <xdr:cNvPr id="22" name="Picture 21">
              <a:extLst>
                <a:ext uri="{FF2B5EF4-FFF2-40B4-BE49-F238E27FC236}">
                  <a16:creationId xmlns:a16="http://schemas.microsoft.com/office/drawing/2014/main" id="{CD0D7F37-2DA2-ADDD-236E-8F9F95FBE9C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837503" y="3648075"/>
              <a:ext cx="4588340" cy="2228850"/>
            </a:xfrm>
            <a:prstGeom prst="rect">
              <a:avLst/>
            </a:prstGeom>
          </xdr:spPr>
        </xdr:pic>
        <xdr:cxnSp macro="">
          <xdr:nvCxnSpPr>
            <xdr:cNvPr id="23" name="Straight Arrow Connector 22">
              <a:extLst>
                <a:ext uri="{FF2B5EF4-FFF2-40B4-BE49-F238E27FC236}">
                  <a16:creationId xmlns:a16="http://schemas.microsoft.com/office/drawing/2014/main" id="{F714F77D-75AD-C262-E655-E3CADC90EB06}"/>
                </a:ext>
              </a:extLst>
            </xdr:cNvPr>
            <xdr:cNvCxnSpPr/>
          </xdr:nvCxnSpPr>
          <xdr:spPr>
            <a:xfrm>
              <a:off x="1832741" y="5905500"/>
              <a:ext cx="5649256" cy="0"/>
            </a:xfrm>
            <a:prstGeom prst="straightConnector1">
              <a:avLst/>
            </a:prstGeom>
            <a:ln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" name="Straight Arrow Connector 23">
              <a:extLst>
                <a:ext uri="{FF2B5EF4-FFF2-40B4-BE49-F238E27FC236}">
                  <a16:creationId xmlns:a16="http://schemas.microsoft.com/office/drawing/2014/main" id="{83AD472C-B54D-F4DE-8E6F-13E60EF27588}"/>
                </a:ext>
              </a:extLst>
            </xdr:cNvPr>
            <xdr:cNvCxnSpPr/>
          </xdr:nvCxnSpPr>
          <xdr:spPr>
            <a:xfrm flipV="1">
              <a:off x="1832741" y="2933702"/>
              <a:ext cx="4762" cy="2971799"/>
            </a:xfrm>
            <a:prstGeom prst="straightConnector1">
              <a:avLst/>
            </a:prstGeom>
            <a:ln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5" name="TextBox 9">
              <a:extLst>
                <a:ext uri="{FF2B5EF4-FFF2-40B4-BE49-F238E27FC236}">
                  <a16:creationId xmlns:a16="http://schemas.microsoft.com/office/drawing/2014/main" id="{095C19A8-4C13-B2E9-19D3-02DECE8F2C98}"/>
                </a:ext>
              </a:extLst>
            </xdr:cNvPr>
            <xdr:cNvSpPr txBox="1"/>
          </xdr:nvSpPr>
          <xdr:spPr>
            <a:xfrm>
              <a:off x="6876336" y="5287419"/>
              <a:ext cx="565988" cy="49266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200">
                  <a:solidFill>
                    <a:schemeClr val="tx1"/>
                  </a:solidFill>
                </a:rPr>
                <a:t>x</a:t>
              </a:r>
            </a:p>
          </xdr:txBody>
        </xdr:sp>
        <xdr:sp macro="" textlink="">
          <xdr:nvSpPr>
            <xdr:cNvPr id="26" name="TextBox 10">
              <a:extLst>
                <a:ext uri="{FF2B5EF4-FFF2-40B4-BE49-F238E27FC236}">
                  <a16:creationId xmlns:a16="http://schemas.microsoft.com/office/drawing/2014/main" id="{8D4DF404-9AB0-923D-4E52-BB3FA4B8A1FB}"/>
                </a:ext>
              </a:extLst>
            </xdr:cNvPr>
            <xdr:cNvSpPr txBox="1"/>
          </xdr:nvSpPr>
          <xdr:spPr>
            <a:xfrm>
              <a:off x="1809763" y="2890995"/>
              <a:ext cx="653757" cy="49266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200"/>
                <a:t>y</a:t>
              </a:r>
            </a:p>
          </xdr:txBody>
        </xdr:sp>
      </xdr:grpSp>
      <xdr:grpSp>
        <xdr:nvGrpSpPr>
          <xdr:cNvPr id="12" name="Group 11">
            <a:extLst>
              <a:ext uri="{FF2B5EF4-FFF2-40B4-BE49-F238E27FC236}">
                <a16:creationId xmlns:a16="http://schemas.microsoft.com/office/drawing/2014/main" id="{68575FA3-316E-BB89-106F-E35693475A25}"/>
              </a:ext>
            </a:extLst>
          </xdr:cNvPr>
          <xdr:cNvGrpSpPr/>
        </xdr:nvGrpSpPr>
        <xdr:grpSpPr>
          <a:xfrm>
            <a:off x="7625861" y="2283249"/>
            <a:ext cx="997928" cy="669501"/>
            <a:chOff x="7625861" y="2283249"/>
            <a:chExt cx="997928" cy="669501"/>
          </a:xfrm>
        </xdr:grpSpPr>
        <xdr:grpSp>
          <xdr:nvGrpSpPr>
            <xdr:cNvPr id="18" name="Group 17">
              <a:extLst>
                <a:ext uri="{FF2B5EF4-FFF2-40B4-BE49-F238E27FC236}">
                  <a16:creationId xmlns:a16="http://schemas.microsoft.com/office/drawing/2014/main" id="{3645F38C-6995-036D-9FBA-6082402605A5}"/>
                </a:ext>
              </a:extLst>
            </xdr:cNvPr>
            <xdr:cNvGrpSpPr/>
          </xdr:nvGrpSpPr>
          <xdr:grpSpPr>
            <a:xfrm>
              <a:off x="7625861" y="2582919"/>
              <a:ext cx="997928" cy="369831"/>
              <a:chOff x="8020050" y="2085975"/>
              <a:chExt cx="1238250" cy="657225"/>
            </a:xfrm>
          </xdr:grpSpPr>
          <xdr:cxnSp macro="">
            <xdr:nvCxnSpPr>
              <xdr:cNvPr id="20" name="Straight Arrow Connector 19">
                <a:extLst>
                  <a:ext uri="{FF2B5EF4-FFF2-40B4-BE49-F238E27FC236}">
                    <a16:creationId xmlns:a16="http://schemas.microsoft.com/office/drawing/2014/main" id="{9CA90A0E-B539-F2D4-5B1D-5967F4398BE6}"/>
                  </a:ext>
                </a:extLst>
              </xdr:cNvPr>
              <xdr:cNvCxnSpPr/>
            </xdr:nvCxnSpPr>
            <xdr:spPr>
              <a:xfrm>
                <a:off x="8020050" y="2409825"/>
                <a:ext cx="1238250" cy="0"/>
              </a:xfrm>
              <a:prstGeom prst="straightConnector1">
                <a:avLst/>
              </a:prstGeom>
              <a:ln w="38100"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1" name="Arc 20">
                <a:extLst>
                  <a:ext uri="{FF2B5EF4-FFF2-40B4-BE49-F238E27FC236}">
                    <a16:creationId xmlns:a16="http://schemas.microsoft.com/office/drawing/2014/main" id="{D930868E-6DAE-1C32-3F20-9FB811099A5D}"/>
                  </a:ext>
                </a:extLst>
              </xdr:cNvPr>
              <xdr:cNvSpPr/>
            </xdr:nvSpPr>
            <xdr:spPr>
              <a:xfrm>
                <a:off x="8534400" y="2085975"/>
                <a:ext cx="209550" cy="657225"/>
              </a:xfrm>
              <a:prstGeom prst="arc">
                <a:avLst>
                  <a:gd name="adj1" fmla="val 17864623"/>
                  <a:gd name="adj2" fmla="val 16445138"/>
                </a:avLst>
              </a:prstGeom>
              <a:ln w="38100">
                <a:headEnd type="triangle" w="med" len="med"/>
                <a:tailEnd type="none" w="med" len="med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</xdr:grpSp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DDF06FBE-AF24-C1B3-C04F-833A1D31EE52}"/>
                </a:ext>
              </a:extLst>
            </xdr:cNvPr>
            <xdr:cNvSpPr txBox="1"/>
          </xdr:nvSpPr>
          <xdr:spPr>
            <a:xfrm>
              <a:off x="8061082" y="2283249"/>
              <a:ext cx="498470" cy="34278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600">
                  <a:solidFill>
                    <a:schemeClr val="accent1"/>
                  </a:solidFill>
                </a:rPr>
                <a:t>Roll</a:t>
              </a:r>
            </a:p>
          </xdr:txBody>
        </xdr:sp>
      </xdr:grpSp>
      <xdr:grpSp>
        <xdr:nvGrpSpPr>
          <xdr:cNvPr id="13" name="Group 12">
            <a:extLst>
              <a:ext uri="{FF2B5EF4-FFF2-40B4-BE49-F238E27FC236}">
                <a16:creationId xmlns:a16="http://schemas.microsoft.com/office/drawing/2014/main" id="{6BD00C2A-B3E5-70B1-EF8C-DFFDC9872426}"/>
              </a:ext>
            </a:extLst>
          </xdr:cNvPr>
          <xdr:cNvGrpSpPr/>
        </xdr:nvGrpSpPr>
        <xdr:grpSpPr>
          <a:xfrm>
            <a:off x="6280851" y="1886301"/>
            <a:ext cx="1331134" cy="842246"/>
            <a:chOff x="6280851" y="1886301"/>
            <a:chExt cx="1331134" cy="842246"/>
          </a:xfrm>
        </xdr:grpSpPr>
        <xdr:grpSp>
          <xdr:nvGrpSpPr>
            <xdr:cNvPr id="14" name="Group 13">
              <a:extLst>
                <a:ext uri="{FF2B5EF4-FFF2-40B4-BE49-F238E27FC236}">
                  <a16:creationId xmlns:a16="http://schemas.microsoft.com/office/drawing/2014/main" id="{4C153770-BD91-28A2-1389-1F668A1CBAD3}"/>
                </a:ext>
              </a:extLst>
            </xdr:cNvPr>
            <xdr:cNvGrpSpPr/>
          </xdr:nvGrpSpPr>
          <xdr:grpSpPr>
            <a:xfrm rot="16200000">
              <a:off x="6455963" y="1896210"/>
              <a:ext cx="657225" cy="1007450"/>
              <a:chOff x="8020050" y="2053012"/>
              <a:chExt cx="1238250" cy="657225"/>
            </a:xfrm>
          </xdr:grpSpPr>
          <xdr:cxnSp macro="">
            <xdr:nvCxnSpPr>
              <xdr:cNvPr id="16" name="Straight Arrow Connector 15">
                <a:extLst>
                  <a:ext uri="{FF2B5EF4-FFF2-40B4-BE49-F238E27FC236}">
                    <a16:creationId xmlns:a16="http://schemas.microsoft.com/office/drawing/2014/main" id="{34211FFF-F2D8-B77D-52FB-AA0CBD3D0046}"/>
                  </a:ext>
                </a:extLst>
              </xdr:cNvPr>
              <xdr:cNvCxnSpPr/>
            </xdr:nvCxnSpPr>
            <xdr:spPr>
              <a:xfrm>
                <a:off x="8020050" y="2409825"/>
                <a:ext cx="1238250" cy="0"/>
              </a:xfrm>
              <a:prstGeom prst="straightConnector1">
                <a:avLst/>
              </a:prstGeom>
              <a:ln w="38100">
                <a:solidFill>
                  <a:schemeClr val="accent6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7" name="Arc 16">
                <a:extLst>
                  <a:ext uri="{FF2B5EF4-FFF2-40B4-BE49-F238E27FC236}">
                    <a16:creationId xmlns:a16="http://schemas.microsoft.com/office/drawing/2014/main" id="{B84FB720-E123-8776-FA29-A69F4114D108}"/>
                  </a:ext>
                </a:extLst>
              </xdr:cNvPr>
              <xdr:cNvSpPr/>
            </xdr:nvSpPr>
            <xdr:spPr>
              <a:xfrm>
                <a:off x="8460892" y="2053012"/>
                <a:ext cx="454717" cy="657225"/>
              </a:xfrm>
              <a:prstGeom prst="arc">
                <a:avLst>
                  <a:gd name="adj1" fmla="val 17864623"/>
                  <a:gd name="adj2" fmla="val 16445138"/>
                </a:avLst>
              </a:prstGeom>
              <a:ln w="38100">
                <a:solidFill>
                  <a:schemeClr val="accent6"/>
                </a:solidFill>
                <a:headEnd type="triangle" w="med" len="med"/>
                <a:tailEnd type="none" w="med" len="med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</xdr:grpSp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1AA00662-B9DF-AC62-E3AC-1CA8AF729E69}"/>
                </a:ext>
              </a:extLst>
            </xdr:cNvPr>
            <xdr:cNvSpPr txBox="1"/>
          </xdr:nvSpPr>
          <xdr:spPr>
            <a:xfrm>
              <a:off x="6802062" y="1886301"/>
              <a:ext cx="809923" cy="4636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600">
                  <a:solidFill>
                    <a:schemeClr val="accent6"/>
                  </a:solidFill>
                </a:rPr>
                <a:t>Pitch</a:t>
              </a:r>
            </a:p>
          </xdr:txBody>
        </xdr:sp>
      </xdr:grpSp>
    </xdr:grpSp>
    <xdr:clientData/>
  </xdr:twoCellAnchor>
  <xdr:oneCellAnchor>
    <xdr:from>
      <xdr:col>12</xdr:col>
      <xdr:colOff>21980</xdr:colOff>
      <xdr:row>10</xdr:row>
      <xdr:rowOff>102578</xdr:rowOff>
    </xdr:from>
    <xdr:ext cx="4681904" cy="40536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8E55923-2BE5-4B82-AE8C-882F79495919}"/>
            </a:ext>
          </a:extLst>
        </xdr:cNvPr>
        <xdr:cNvSpPr txBox="1"/>
      </xdr:nvSpPr>
      <xdr:spPr>
        <a:xfrm>
          <a:off x="9459057" y="2161443"/>
          <a:ext cx="4681904" cy="4053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000"/>
            <a:t>The X dimension refers to the direction between the emitter and transmitter</a:t>
          </a:r>
        </a:p>
        <a:p>
          <a:r>
            <a:rPr lang="en-GB" sz="1000"/>
            <a:t>The Y dimension refers to the width of the transmitter or emitter</a:t>
          </a:r>
        </a:p>
      </xdr:txBody>
    </xdr:sp>
    <xdr:clientData/>
  </xdr:oneCellAnchor>
  <xdr:twoCellAnchor editAs="oneCell">
    <xdr:from>
      <xdr:col>12</xdr:col>
      <xdr:colOff>65945</xdr:colOff>
      <xdr:row>12</xdr:row>
      <xdr:rowOff>208067</xdr:rowOff>
    </xdr:from>
    <xdr:to>
      <xdr:col>15</xdr:col>
      <xdr:colOff>437419</xdr:colOff>
      <xdr:row>17</xdr:row>
      <xdr:rowOff>134060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DBDCB889-B425-4058-8763-3EDA7F799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03022" y="2501394"/>
          <a:ext cx="2205403" cy="977260"/>
        </a:xfrm>
        <a:prstGeom prst="rect">
          <a:avLst/>
        </a:prstGeom>
      </xdr:spPr>
    </xdr:pic>
    <xdr:clientData/>
  </xdr:twoCellAnchor>
  <xdr:oneCellAnchor>
    <xdr:from>
      <xdr:col>12</xdr:col>
      <xdr:colOff>14654</xdr:colOff>
      <xdr:row>17</xdr:row>
      <xdr:rowOff>51288</xdr:rowOff>
    </xdr:from>
    <xdr:ext cx="5568462" cy="436786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977FB92-2BB4-460F-8F81-49FD5131841F}"/>
            </a:ext>
          </a:extLst>
        </xdr:cNvPr>
        <xdr:cNvSpPr txBox="1"/>
      </xdr:nvSpPr>
      <xdr:spPr>
        <a:xfrm>
          <a:off x="9451731" y="3663461"/>
          <a:ext cx="5568462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Pitch is the angle</a:t>
          </a:r>
          <a:r>
            <a:rPr lang="en-GB" sz="1100" baseline="0"/>
            <a:t> of deflection from horizontal above the emitter/transmitter</a:t>
          </a:r>
        </a:p>
        <a:p>
          <a:r>
            <a:rPr lang="en-GB" sz="1100" baseline="0"/>
            <a:t>The pitch is defined around the y-axis</a:t>
          </a:r>
          <a:endParaRPr lang="en-GB" sz="1100"/>
        </a:p>
      </xdr:txBody>
    </xdr:sp>
    <xdr:clientData/>
  </xdr:oneCellAnchor>
  <xdr:twoCellAnchor editAs="oneCell">
    <xdr:from>
      <xdr:col>12</xdr:col>
      <xdr:colOff>36637</xdr:colOff>
      <xdr:row>19</xdr:row>
      <xdr:rowOff>67539</xdr:rowOff>
    </xdr:from>
    <xdr:to>
      <xdr:col>15</xdr:col>
      <xdr:colOff>208966</xdr:colOff>
      <xdr:row>24</xdr:row>
      <xdr:rowOff>123618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6A5AB8A7-7652-48AB-B521-45E45F241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473714" y="3972789"/>
          <a:ext cx="1992923" cy="1106076"/>
        </a:xfrm>
        <a:prstGeom prst="rect">
          <a:avLst/>
        </a:prstGeom>
      </xdr:spPr>
    </xdr:pic>
    <xdr:clientData/>
  </xdr:twoCellAnchor>
  <xdr:oneCellAnchor>
    <xdr:from>
      <xdr:col>11</xdr:col>
      <xdr:colOff>842596</xdr:colOff>
      <xdr:row>24</xdr:row>
      <xdr:rowOff>36635</xdr:rowOff>
    </xdr:from>
    <xdr:ext cx="4799134" cy="436786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A0C8791C-A4BE-4417-9CA6-D15FF91FF4A3}"/>
            </a:ext>
          </a:extLst>
        </xdr:cNvPr>
        <xdr:cNvSpPr txBox="1"/>
      </xdr:nvSpPr>
      <xdr:spPr>
        <a:xfrm>
          <a:off x="9429750" y="5202116"/>
          <a:ext cx="479913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Roll is the angle</a:t>
          </a:r>
          <a:r>
            <a:rPr lang="en-GB" sz="1100" baseline="0"/>
            <a:t> of deflection from horizontal above the emitter/transmitter</a:t>
          </a:r>
        </a:p>
        <a:p>
          <a:r>
            <a:rPr lang="en-GB" sz="1100" baseline="0"/>
            <a:t>The roll is defined around the x-axis</a:t>
          </a:r>
          <a:endParaRPr lang="en-GB" sz="1100"/>
        </a:p>
      </xdr:txBody>
    </xdr:sp>
    <xdr:clientData/>
  </xdr:oneCellAnchor>
  <xdr:twoCellAnchor>
    <xdr:from>
      <xdr:col>3</xdr:col>
      <xdr:colOff>688731</xdr:colOff>
      <xdr:row>32</xdr:row>
      <xdr:rowOff>65941</xdr:rowOff>
    </xdr:from>
    <xdr:to>
      <xdr:col>8</xdr:col>
      <xdr:colOff>439615</xdr:colOff>
      <xdr:row>41</xdr:row>
      <xdr:rowOff>43162</xdr:rowOff>
    </xdr:to>
    <xdr:grpSp>
      <xdr:nvGrpSpPr>
        <xdr:cNvPr id="34" name="Group 33">
          <a:extLst>
            <a:ext uri="{FF2B5EF4-FFF2-40B4-BE49-F238E27FC236}">
              <a16:creationId xmlns:a16="http://schemas.microsoft.com/office/drawing/2014/main" id="{B4FA9DCF-E4BF-4C62-A75A-6F5120502812}"/>
            </a:ext>
          </a:extLst>
        </xdr:cNvPr>
        <xdr:cNvGrpSpPr/>
      </xdr:nvGrpSpPr>
      <xdr:grpSpPr>
        <a:xfrm>
          <a:off x="2481672" y="7248912"/>
          <a:ext cx="4009119" cy="1691721"/>
          <a:chOff x="4391855" y="6344478"/>
          <a:chExt cx="6151907" cy="2843004"/>
        </a:xfrm>
      </xdr:grpSpPr>
      <xdr:grpSp>
        <xdr:nvGrpSpPr>
          <xdr:cNvPr id="35" name="Group 34">
            <a:extLst>
              <a:ext uri="{FF2B5EF4-FFF2-40B4-BE49-F238E27FC236}">
                <a16:creationId xmlns:a16="http://schemas.microsoft.com/office/drawing/2014/main" id="{DADBA56F-F54A-F2D5-F782-DA77CADD7D20}"/>
              </a:ext>
            </a:extLst>
          </xdr:cNvPr>
          <xdr:cNvGrpSpPr/>
        </xdr:nvGrpSpPr>
        <xdr:grpSpPr>
          <a:xfrm>
            <a:off x="4391855" y="6551543"/>
            <a:ext cx="5837167" cy="2635939"/>
            <a:chOff x="1676400" y="1905000"/>
            <a:chExt cx="5943600" cy="2971800"/>
          </a:xfrm>
        </xdr:grpSpPr>
        <xdr:sp macro="" textlink="">
          <xdr:nvSpPr>
            <xdr:cNvPr id="50" name="Flowchart: Alternate Process 49">
              <a:extLst>
                <a:ext uri="{FF2B5EF4-FFF2-40B4-BE49-F238E27FC236}">
                  <a16:creationId xmlns:a16="http://schemas.microsoft.com/office/drawing/2014/main" id="{828CDB42-D397-5574-5610-7988CC7E63A9}"/>
                </a:ext>
              </a:extLst>
            </xdr:cNvPr>
            <xdr:cNvSpPr/>
          </xdr:nvSpPr>
          <xdr:spPr>
            <a:xfrm>
              <a:off x="1676400" y="1905000"/>
              <a:ext cx="5943600" cy="2971800"/>
            </a:xfrm>
            <a:prstGeom prst="flowChartAlternateProcess">
              <a:avLst/>
            </a:prstGeom>
            <a:solidFill>
              <a:schemeClr val="bg1">
                <a:lumMod val="6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GB"/>
            </a:p>
          </xdr:txBody>
        </xdr:sp>
        <xdr:pic>
          <xdr:nvPicPr>
            <xdr:cNvPr id="51" name="Picture 50">
              <a:extLst>
                <a:ext uri="{FF2B5EF4-FFF2-40B4-BE49-F238E27FC236}">
                  <a16:creationId xmlns:a16="http://schemas.microsoft.com/office/drawing/2014/main" id="{BD2A9EBA-5CE5-F006-7E5B-964C0CC1F2E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290762" y="2314575"/>
              <a:ext cx="4562475" cy="2228850"/>
            </a:xfrm>
            <a:prstGeom prst="rect">
              <a:avLst/>
            </a:prstGeom>
          </xdr:spPr>
        </xdr:pic>
        <xdr:sp macro="" textlink="">
          <xdr:nvSpPr>
            <xdr:cNvPr id="52" name="Rectangle 51">
              <a:extLst>
                <a:ext uri="{FF2B5EF4-FFF2-40B4-BE49-F238E27FC236}">
                  <a16:creationId xmlns:a16="http://schemas.microsoft.com/office/drawing/2014/main" id="{3F612CC6-70F1-9328-2502-34B688A29524}"/>
                </a:ext>
              </a:extLst>
            </xdr:cNvPr>
            <xdr:cNvSpPr/>
          </xdr:nvSpPr>
          <xdr:spPr>
            <a:xfrm>
              <a:off x="2197345" y="2278380"/>
              <a:ext cx="187715" cy="2438400"/>
            </a:xfrm>
            <a:prstGeom prst="rect">
              <a:avLst/>
            </a:prstGeom>
            <a:solidFill>
              <a:schemeClr val="bg1">
                <a:lumMod val="6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GB"/>
            </a:p>
          </xdr:txBody>
        </xdr:sp>
        <xdr:sp macro="" textlink="">
          <xdr:nvSpPr>
            <xdr:cNvPr id="53" name="Rectangle 52">
              <a:extLst>
                <a:ext uri="{FF2B5EF4-FFF2-40B4-BE49-F238E27FC236}">
                  <a16:creationId xmlns:a16="http://schemas.microsoft.com/office/drawing/2014/main" id="{432B0E3A-092D-C579-A34A-0DFB69AA8448}"/>
                </a:ext>
              </a:extLst>
            </xdr:cNvPr>
            <xdr:cNvSpPr/>
          </xdr:nvSpPr>
          <xdr:spPr>
            <a:xfrm>
              <a:off x="6797920" y="2118410"/>
              <a:ext cx="76200" cy="2438400"/>
            </a:xfrm>
            <a:prstGeom prst="rect">
              <a:avLst/>
            </a:prstGeom>
            <a:solidFill>
              <a:schemeClr val="bg1">
                <a:lumMod val="6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GB"/>
            </a:p>
          </xdr:txBody>
        </xdr:sp>
        <xdr:sp macro="" textlink="">
          <xdr:nvSpPr>
            <xdr:cNvPr id="54" name="Rectangle 53">
              <a:extLst>
                <a:ext uri="{FF2B5EF4-FFF2-40B4-BE49-F238E27FC236}">
                  <a16:creationId xmlns:a16="http://schemas.microsoft.com/office/drawing/2014/main" id="{EA23CCC5-B7F7-5973-712D-7C00DA3F85CB}"/>
                </a:ext>
              </a:extLst>
            </xdr:cNvPr>
            <xdr:cNvSpPr/>
          </xdr:nvSpPr>
          <xdr:spPr>
            <a:xfrm>
              <a:off x="2286000" y="2293620"/>
              <a:ext cx="4655820" cy="91440"/>
            </a:xfrm>
            <a:prstGeom prst="rect">
              <a:avLst/>
            </a:prstGeom>
            <a:solidFill>
              <a:schemeClr val="bg1">
                <a:lumMod val="6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GB"/>
            </a:p>
          </xdr:txBody>
        </xdr:sp>
        <xdr:sp macro="" textlink="">
          <xdr:nvSpPr>
            <xdr:cNvPr id="55" name="Rectangle 54">
              <a:extLst>
                <a:ext uri="{FF2B5EF4-FFF2-40B4-BE49-F238E27FC236}">
                  <a16:creationId xmlns:a16="http://schemas.microsoft.com/office/drawing/2014/main" id="{A4C3D0B5-D5D9-B54C-E73B-983A59353724}"/>
                </a:ext>
              </a:extLst>
            </xdr:cNvPr>
            <xdr:cNvSpPr/>
          </xdr:nvSpPr>
          <xdr:spPr>
            <a:xfrm>
              <a:off x="2254328" y="4479658"/>
              <a:ext cx="4655820" cy="91440"/>
            </a:xfrm>
            <a:prstGeom prst="rect">
              <a:avLst/>
            </a:prstGeom>
            <a:solidFill>
              <a:schemeClr val="bg1">
                <a:lumMod val="6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GB"/>
            </a:p>
          </xdr:txBody>
        </xdr:sp>
        <xdr:grpSp>
          <xdr:nvGrpSpPr>
            <xdr:cNvPr id="56" name="Group 55">
              <a:extLst>
                <a:ext uri="{FF2B5EF4-FFF2-40B4-BE49-F238E27FC236}">
                  <a16:creationId xmlns:a16="http://schemas.microsoft.com/office/drawing/2014/main" id="{A22ADD7D-CD9F-EA49-0BAE-E1F8DF5D9A29}"/>
                </a:ext>
              </a:extLst>
            </xdr:cNvPr>
            <xdr:cNvGrpSpPr/>
          </xdr:nvGrpSpPr>
          <xdr:grpSpPr>
            <a:xfrm>
              <a:off x="2536996" y="2254670"/>
              <a:ext cx="2142359" cy="2093440"/>
              <a:chOff x="2562225" y="2598419"/>
              <a:chExt cx="1793556" cy="1752602"/>
            </a:xfrm>
          </xdr:grpSpPr>
          <xdr:grpSp>
            <xdr:nvGrpSpPr>
              <xdr:cNvPr id="74" name="Group 73">
                <a:extLst>
                  <a:ext uri="{FF2B5EF4-FFF2-40B4-BE49-F238E27FC236}">
                    <a16:creationId xmlns:a16="http://schemas.microsoft.com/office/drawing/2014/main" id="{39C6E841-E97A-6909-685B-1F5066E9FF12}"/>
                  </a:ext>
                </a:extLst>
              </xdr:cNvPr>
              <xdr:cNvGrpSpPr/>
            </xdr:nvGrpSpPr>
            <xdr:grpSpPr>
              <a:xfrm>
                <a:off x="2562226" y="2598419"/>
                <a:ext cx="1793555" cy="1752602"/>
                <a:chOff x="2562226" y="2598419"/>
                <a:chExt cx="1793555" cy="1752602"/>
              </a:xfrm>
            </xdr:grpSpPr>
            <xdr:grpSp>
              <xdr:nvGrpSpPr>
                <xdr:cNvPr id="77" name="Group 76">
                  <a:extLst>
                    <a:ext uri="{FF2B5EF4-FFF2-40B4-BE49-F238E27FC236}">
                      <a16:creationId xmlns:a16="http://schemas.microsoft.com/office/drawing/2014/main" id="{20B22176-5407-1F83-D1D1-377F7AD5D617}"/>
                    </a:ext>
                  </a:extLst>
                </xdr:cNvPr>
                <xdr:cNvGrpSpPr/>
              </xdr:nvGrpSpPr>
              <xdr:grpSpPr>
                <a:xfrm rot="10800000">
                  <a:off x="2562226" y="2598419"/>
                  <a:ext cx="1689733" cy="1752602"/>
                  <a:chOff x="2590798" y="3124199"/>
                  <a:chExt cx="4091725" cy="2819401"/>
                </a:xfrm>
              </xdr:grpSpPr>
              <xdr:cxnSp macro="">
                <xdr:nvCxnSpPr>
                  <xdr:cNvPr id="82" name="Straight Connector 81">
                    <a:extLst>
                      <a:ext uri="{FF2B5EF4-FFF2-40B4-BE49-F238E27FC236}">
                        <a16:creationId xmlns:a16="http://schemas.microsoft.com/office/drawing/2014/main" id="{1E0288D7-DBC5-72F4-25EB-011B16455572}"/>
                      </a:ext>
                    </a:extLst>
                  </xdr:cNvPr>
                  <xdr:cNvCxnSpPr/>
                </xdr:nvCxnSpPr>
                <xdr:spPr>
                  <a:xfrm rot="10800000" flipH="1" flipV="1">
                    <a:off x="3047999" y="3124199"/>
                    <a:ext cx="2971800" cy="381000"/>
                  </a:xfrm>
                  <a:prstGeom prst="line">
                    <a:avLst/>
                  </a:prstGeom>
                  <a:ln>
                    <a:solidFill>
                      <a:schemeClr val="bg1"/>
                    </a:solidFill>
                  </a:ln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3" name="Straight Connector 82">
                    <a:extLst>
                      <a:ext uri="{FF2B5EF4-FFF2-40B4-BE49-F238E27FC236}">
                        <a16:creationId xmlns:a16="http://schemas.microsoft.com/office/drawing/2014/main" id="{7E9F83CC-D1AF-50C7-75D4-8D4A4B1089B0}"/>
                      </a:ext>
                    </a:extLst>
                  </xdr:cNvPr>
                  <xdr:cNvCxnSpPr/>
                </xdr:nvCxnSpPr>
                <xdr:spPr>
                  <a:xfrm rot="10800000" flipH="1" flipV="1">
                    <a:off x="6019797" y="3505196"/>
                    <a:ext cx="656960" cy="1826253"/>
                  </a:xfrm>
                  <a:prstGeom prst="line">
                    <a:avLst/>
                  </a:prstGeom>
                  <a:ln>
                    <a:solidFill>
                      <a:schemeClr val="bg1"/>
                    </a:solidFill>
                  </a:ln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4" name="Straight Connector 83">
                    <a:extLst>
                      <a:ext uri="{FF2B5EF4-FFF2-40B4-BE49-F238E27FC236}">
                        <a16:creationId xmlns:a16="http://schemas.microsoft.com/office/drawing/2014/main" id="{ACFCA05C-CE3E-4E01-925A-0645CF91C1D4}"/>
                      </a:ext>
                    </a:extLst>
                  </xdr:cNvPr>
                  <xdr:cNvCxnSpPr/>
                </xdr:nvCxnSpPr>
                <xdr:spPr>
                  <a:xfrm rot="10800000" flipV="1">
                    <a:off x="2590800" y="5323789"/>
                    <a:ext cx="4091723" cy="619809"/>
                  </a:xfrm>
                  <a:prstGeom prst="line">
                    <a:avLst/>
                  </a:prstGeom>
                  <a:ln>
                    <a:solidFill>
                      <a:schemeClr val="bg1"/>
                    </a:solidFill>
                  </a:ln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5" name="Straight Connector 84">
                    <a:extLst>
                      <a:ext uri="{FF2B5EF4-FFF2-40B4-BE49-F238E27FC236}">
                        <a16:creationId xmlns:a16="http://schemas.microsoft.com/office/drawing/2014/main" id="{98440141-E830-0526-9172-6A0BAE997C4C}"/>
                      </a:ext>
                    </a:extLst>
                  </xdr:cNvPr>
                  <xdr:cNvCxnSpPr/>
                </xdr:nvCxnSpPr>
                <xdr:spPr>
                  <a:xfrm rot="10800000" flipH="1">
                    <a:off x="2590798" y="3124200"/>
                    <a:ext cx="457199" cy="2819400"/>
                  </a:xfrm>
                  <a:prstGeom prst="line">
                    <a:avLst/>
                  </a:prstGeom>
                  <a:ln>
                    <a:solidFill>
                      <a:schemeClr val="bg1"/>
                    </a:solidFill>
                  </a:ln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</xdr:grpSp>
            <xdr:sp macro="" textlink="">
              <xdr:nvSpPr>
                <xdr:cNvPr id="78" name="Rectangle 77">
                  <a:extLst>
                    <a:ext uri="{FF2B5EF4-FFF2-40B4-BE49-F238E27FC236}">
                      <a16:creationId xmlns:a16="http://schemas.microsoft.com/office/drawing/2014/main" id="{D921D6AB-E776-3443-2484-F47FB55609C9}"/>
                    </a:ext>
                  </a:extLst>
                </xdr:cNvPr>
                <xdr:cNvSpPr/>
              </xdr:nvSpPr>
              <xdr:spPr>
                <a:xfrm rot="4634191">
                  <a:off x="2861243" y="2614970"/>
                  <a:ext cx="981834" cy="1384746"/>
                </a:xfrm>
                <a:prstGeom prst="rect">
                  <a:avLst/>
                </a:prstGeom>
                <a:solidFill>
                  <a:schemeClr val="bg1">
                    <a:alpha val="27059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n-GB"/>
                </a:p>
              </xdr:txBody>
            </xdr:sp>
            <xdr:sp macro="" textlink="">
              <xdr:nvSpPr>
                <xdr:cNvPr id="79" name="Isosceles Triangle 78">
                  <a:extLst>
                    <a:ext uri="{FF2B5EF4-FFF2-40B4-BE49-F238E27FC236}">
                      <a16:creationId xmlns:a16="http://schemas.microsoft.com/office/drawing/2014/main" id="{AE02F7F4-758A-7E9E-98CA-C29C2ED6C848}"/>
                    </a:ext>
                  </a:extLst>
                </xdr:cNvPr>
                <xdr:cNvSpPr/>
              </xdr:nvSpPr>
              <xdr:spPr>
                <a:xfrm rot="10106290">
                  <a:off x="4014281" y="2629960"/>
                  <a:ext cx="341500" cy="988535"/>
                </a:xfrm>
                <a:prstGeom prst="triangle">
                  <a:avLst>
                    <a:gd name="adj" fmla="val 94287"/>
                  </a:avLst>
                </a:prstGeom>
                <a:solidFill>
                  <a:schemeClr val="bg1">
                    <a:alpha val="27059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n-GB"/>
                </a:p>
              </xdr:txBody>
            </xdr:sp>
            <xdr:sp macro="" textlink="">
              <xdr:nvSpPr>
                <xdr:cNvPr id="80" name="Isosceles Triangle 79">
                  <a:extLst>
                    <a:ext uri="{FF2B5EF4-FFF2-40B4-BE49-F238E27FC236}">
                      <a16:creationId xmlns:a16="http://schemas.microsoft.com/office/drawing/2014/main" id="{29540DD8-4C9D-F5CE-622D-CAC71B94BE5B}"/>
                    </a:ext>
                  </a:extLst>
                </xdr:cNvPr>
                <xdr:cNvSpPr/>
              </xdr:nvSpPr>
              <xdr:spPr>
                <a:xfrm rot="16608172">
                  <a:off x="3123051" y="3290692"/>
                  <a:ext cx="717795" cy="1247153"/>
                </a:xfrm>
                <a:prstGeom prst="triangle">
                  <a:avLst>
                    <a:gd name="adj" fmla="val 11150"/>
                  </a:avLst>
                </a:prstGeom>
                <a:solidFill>
                  <a:schemeClr val="bg1">
                    <a:alpha val="27059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n-GB"/>
                </a:p>
              </xdr:txBody>
            </xdr:sp>
            <xdr:sp macro="" textlink="">
              <xdr:nvSpPr>
                <xdr:cNvPr id="81" name="Isosceles Triangle 80">
                  <a:extLst>
                    <a:ext uri="{FF2B5EF4-FFF2-40B4-BE49-F238E27FC236}">
                      <a16:creationId xmlns:a16="http://schemas.microsoft.com/office/drawing/2014/main" id="{8F4BBDE7-9CEB-498A-7380-419B96F52E7C}"/>
                    </a:ext>
                  </a:extLst>
                </xdr:cNvPr>
                <xdr:cNvSpPr/>
              </xdr:nvSpPr>
              <xdr:spPr>
                <a:xfrm rot="4345476">
                  <a:off x="3386313" y="3124511"/>
                  <a:ext cx="183805" cy="1384022"/>
                </a:xfrm>
                <a:prstGeom prst="triangle">
                  <a:avLst>
                    <a:gd name="adj" fmla="val 63429"/>
                  </a:avLst>
                </a:prstGeom>
                <a:solidFill>
                  <a:schemeClr val="bg1">
                    <a:alpha val="27059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n-GB"/>
                </a:p>
              </xdr:txBody>
            </xdr:sp>
          </xdr:grpSp>
          <xdr:cxnSp macro="">
            <xdr:nvCxnSpPr>
              <xdr:cNvPr id="75" name="Straight Arrow Connector 74">
                <a:extLst>
                  <a:ext uri="{FF2B5EF4-FFF2-40B4-BE49-F238E27FC236}">
                    <a16:creationId xmlns:a16="http://schemas.microsoft.com/office/drawing/2014/main" id="{216E8A3F-EEAC-66A8-8EE0-94E2BFE65641}"/>
                  </a:ext>
                </a:extLst>
              </xdr:cNvPr>
              <xdr:cNvCxnSpPr>
                <a:stCxn id="81" idx="4"/>
                <a:endCxn id="79" idx="2"/>
              </xdr:cNvCxnSpPr>
            </xdr:nvCxnSpPr>
            <xdr:spPr>
              <a:xfrm flipV="1">
                <a:off x="2846258" y="2605767"/>
                <a:ext cx="1406994" cy="1507328"/>
              </a:xfrm>
              <a:prstGeom prst="straightConnector1">
                <a:avLst/>
              </a:prstGeom>
              <a:ln>
                <a:solidFill>
                  <a:schemeClr val="bg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76" name="Straight Arrow Connector 75">
                <a:extLst>
                  <a:ext uri="{FF2B5EF4-FFF2-40B4-BE49-F238E27FC236}">
                    <a16:creationId xmlns:a16="http://schemas.microsoft.com/office/drawing/2014/main" id="{D60A4BA8-FD2F-8573-EF79-9240874BFAF4}"/>
                  </a:ext>
                </a:extLst>
              </xdr:cNvPr>
              <xdr:cNvCxnSpPr>
                <a:endCxn id="80" idx="2"/>
              </xdr:cNvCxnSpPr>
            </xdr:nvCxnSpPr>
            <xdr:spPr>
              <a:xfrm>
                <a:off x="2562225" y="2978945"/>
                <a:ext cx="1496397" cy="1365559"/>
              </a:xfrm>
              <a:prstGeom prst="straightConnector1">
                <a:avLst/>
              </a:prstGeom>
              <a:ln>
                <a:solidFill>
                  <a:schemeClr val="bg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57" name="Group 56">
              <a:extLst>
                <a:ext uri="{FF2B5EF4-FFF2-40B4-BE49-F238E27FC236}">
                  <a16:creationId xmlns:a16="http://schemas.microsoft.com/office/drawing/2014/main" id="{ECEE3FEB-CF17-E0DF-C907-3DE416F2D4B2}"/>
                </a:ext>
              </a:extLst>
            </xdr:cNvPr>
            <xdr:cNvGrpSpPr/>
          </xdr:nvGrpSpPr>
          <xdr:grpSpPr>
            <a:xfrm>
              <a:off x="5154587" y="2076451"/>
              <a:ext cx="2459063" cy="2488319"/>
              <a:chOff x="2562225" y="2598420"/>
              <a:chExt cx="1793556" cy="1795496"/>
            </a:xfrm>
          </xdr:grpSpPr>
          <xdr:grpSp>
            <xdr:nvGrpSpPr>
              <xdr:cNvPr id="62" name="Group 61">
                <a:extLst>
                  <a:ext uri="{FF2B5EF4-FFF2-40B4-BE49-F238E27FC236}">
                    <a16:creationId xmlns:a16="http://schemas.microsoft.com/office/drawing/2014/main" id="{C00CF145-2481-8D0E-9E22-5C48E9A8BC09}"/>
                  </a:ext>
                </a:extLst>
              </xdr:cNvPr>
              <xdr:cNvGrpSpPr/>
            </xdr:nvGrpSpPr>
            <xdr:grpSpPr>
              <a:xfrm>
                <a:off x="2562226" y="2598420"/>
                <a:ext cx="1793555" cy="1752601"/>
                <a:chOff x="2562226" y="2598420"/>
                <a:chExt cx="1793555" cy="1752601"/>
              </a:xfrm>
            </xdr:grpSpPr>
            <xdr:sp macro="" textlink="">
              <xdr:nvSpPr>
                <xdr:cNvPr id="65" name="Rectangle 64">
                  <a:extLst>
                    <a:ext uri="{FF2B5EF4-FFF2-40B4-BE49-F238E27FC236}">
                      <a16:creationId xmlns:a16="http://schemas.microsoft.com/office/drawing/2014/main" id="{BA520BB8-23AD-D00D-CEFA-3E2D10F477F9}"/>
                    </a:ext>
                  </a:extLst>
                </xdr:cNvPr>
                <xdr:cNvSpPr/>
              </xdr:nvSpPr>
              <xdr:spPr>
                <a:xfrm rot="4634191">
                  <a:off x="2851186" y="2607154"/>
                  <a:ext cx="981834" cy="1405368"/>
                </a:xfrm>
                <a:prstGeom prst="rect">
                  <a:avLst/>
                </a:prstGeom>
                <a:solidFill>
                  <a:schemeClr val="bg1">
                    <a:alpha val="27059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n-GB"/>
                </a:p>
              </xdr:txBody>
            </xdr:sp>
            <xdr:sp macro="" textlink="">
              <xdr:nvSpPr>
                <xdr:cNvPr id="66" name="Isosceles Triangle 65">
                  <a:extLst>
                    <a:ext uri="{FF2B5EF4-FFF2-40B4-BE49-F238E27FC236}">
                      <a16:creationId xmlns:a16="http://schemas.microsoft.com/office/drawing/2014/main" id="{32050AEC-C3B8-7B9C-9DCD-F631A0CD0902}"/>
                    </a:ext>
                  </a:extLst>
                </xdr:cNvPr>
                <xdr:cNvSpPr/>
              </xdr:nvSpPr>
              <xdr:spPr>
                <a:xfrm rot="16608172">
                  <a:off x="3063173" y="3275179"/>
                  <a:ext cx="786026" cy="1289647"/>
                </a:xfrm>
                <a:prstGeom prst="triangle">
                  <a:avLst>
                    <a:gd name="adj" fmla="val 9436"/>
                  </a:avLst>
                </a:prstGeom>
                <a:solidFill>
                  <a:schemeClr val="bg1">
                    <a:alpha val="27059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n-GB"/>
                </a:p>
              </xdr:txBody>
            </xdr:sp>
            <xdr:grpSp>
              <xdr:nvGrpSpPr>
                <xdr:cNvPr id="67" name="Group 66">
                  <a:extLst>
                    <a:ext uri="{FF2B5EF4-FFF2-40B4-BE49-F238E27FC236}">
                      <a16:creationId xmlns:a16="http://schemas.microsoft.com/office/drawing/2014/main" id="{3A454A74-6F23-0993-E2D3-37930B400047}"/>
                    </a:ext>
                  </a:extLst>
                </xdr:cNvPr>
                <xdr:cNvGrpSpPr/>
              </xdr:nvGrpSpPr>
              <xdr:grpSpPr>
                <a:xfrm rot="10800000">
                  <a:off x="2562226" y="2598420"/>
                  <a:ext cx="1689733" cy="1752601"/>
                  <a:chOff x="2590798" y="3124200"/>
                  <a:chExt cx="4091725" cy="2819400"/>
                </a:xfrm>
              </xdr:grpSpPr>
              <xdr:cxnSp macro="">
                <xdr:nvCxnSpPr>
                  <xdr:cNvPr id="70" name="Straight Connector 69">
                    <a:extLst>
                      <a:ext uri="{FF2B5EF4-FFF2-40B4-BE49-F238E27FC236}">
                        <a16:creationId xmlns:a16="http://schemas.microsoft.com/office/drawing/2014/main" id="{7E0D4E43-F488-C608-87B0-7B19A7785982}"/>
                      </a:ext>
                    </a:extLst>
                  </xdr:cNvPr>
                  <xdr:cNvCxnSpPr/>
                </xdr:nvCxnSpPr>
                <xdr:spPr>
                  <a:xfrm rot="10800000" flipH="1" flipV="1">
                    <a:off x="3132520" y="3129275"/>
                    <a:ext cx="2917069" cy="300048"/>
                  </a:xfrm>
                  <a:prstGeom prst="line">
                    <a:avLst/>
                  </a:prstGeom>
                  <a:ln>
                    <a:solidFill>
                      <a:schemeClr val="bg1"/>
                    </a:solidFill>
                  </a:ln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71" name="Straight Connector 70">
                    <a:extLst>
                      <a:ext uri="{FF2B5EF4-FFF2-40B4-BE49-F238E27FC236}">
                        <a16:creationId xmlns:a16="http://schemas.microsoft.com/office/drawing/2014/main" id="{40F6B59E-E8BE-0CE7-EE0F-CD7E7A89D58F}"/>
                      </a:ext>
                    </a:extLst>
                  </xdr:cNvPr>
                  <xdr:cNvCxnSpPr>
                    <a:stCxn id="41" idx="3"/>
                  </xdr:cNvCxnSpPr>
                </xdr:nvCxnSpPr>
                <xdr:spPr>
                  <a:xfrm rot="10800000" flipH="1" flipV="1">
                    <a:off x="6097597" y="3415964"/>
                    <a:ext cx="579157" cy="1915485"/>
                  </a:xfrm>
                  <a:prstGeom prst="line">
                    <a:avLst/>
                  </a:prstGeom>
                  <a:ln>
                    <a:solidFill>
                      <a:schemeClr val="bg1"/>
                    </a:solidFill>
                  </a:ln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72" name="Straight Connector 71">
                    <a:extLst>
                      <a:ext uri="{FF2B5EF4-FFF2-40B4-BE49-F238E27FC236}">
                        <a16:creationId xmlns:a16="http://schemas.microsoft.com/office/drawing/2014/main" id="{4219B786-A1BB-8EAF-F74F-35A610BF22CF}"/>
                      </a:ext>
                    </a:extLst>
                  </xdr:cNvPr>
                  <xdr:cNvCxnSpPr/>
                </xdr:nvCxnSpPr>
                <xdr:spPr>
                  <a:xfrm rot="10800000" flipV="1">
                    <a:off x="2590800" y="5323788"/>
                    <a:ext cx="4091723" cy="619809"/>
                  </a:xfrm>
                  <a:prstGeom prst="line">
                    <a:avLst/>
                  </a:prstGeom>
                  <a:ln>
                    <a:solidFill>
                      <a:schemeClr val="bg1"/>
                    </a:solidFill>
                  </a:ln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73" name="Straight Connector 72">
                    <a:extLst>
                      <a:ext uri="{FF2B5EF4-FFF2-40B4-BE49-F238E27FC236}">
                        <a16:creationId xmlns:a16="http://schemas.microsoft.com/office/drawing/2014/main" id="{9945FBF2-ED1D-D68A-918F-30020B5A5F8A}"/>
                      </a:ext>
                    </a:extLst>
                  </xdr:cNvPr>
                  <xdr:cNvCxnSpPr/>
                </xdr:nvCxnSpPr>
                <xdr:spPr>
                  <a:xfrm rot="10800000" flipH="1">
                    <a:off x="2590798" y="3124200"/>
                    <a:ext cx="457201" cy="2819400"/>
                  </a:xfrm>
                  <a:prstGeom prst="line">
                    <a:avLst/>
                  </a:prstGeom>
                  <a:ln>
                    <a:solidFill>
                      <a:schemeClr val="bg1"/>
                    </a:solidFill>
                  </a:ln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</xdr:grpSp>
            <xdr:sp macro="" textlink="">
              <xdr:nvSpPr>
                <xdr:cNvPr id="68" name="Isosceles Triangle 67">
                  <a:extLst>
                    <a:ext uri="{FF2B5EF4-FFF2-40B4-BE49-F238E27FC236}">
                      <a16:creationId xmlns:a16="http://schemas.microsoft.com/office/drawing/2014/main" id="{9735887E-44DA-A21F-0FFA-BFC1E87DDC77}"/>
                    </a:ext>
                  </a:extLst>
                </xdr:cNvPr>
                <xdr:cNvSpPr/>
              </xdr:nvSpPr>
              <xdr:spPr>
                <a:xfrm rot="10106290">
                  <a:off x="4014281" y="2629960"/>
                  <a:ext cx="341500" cy="988535"/>
                </a:xfrm>
                <a:prstGeom prst="triangle">
                  <a:avLst>
                    <a:gd name="adj" fmla="val 93244"/>
                  </a:avLst>
                </a:prstGeom>
                <a:solidFill>
                  <a:schemeClr val="bg1">
                    <a:alpha val="27059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n-GB"/>
                </a:p>
              </xdr:txBody>
            </xdr:sp>
            <xdr:sp macro="" textlink="">
              <xdr:nvSpPr>
                <xdr:cNvPr id="69" name="Isosceles Triangle 68">
                  <a:extLst>
                    <a:ext uri="{FF2B5EF4-FFF2-40B4-BE49-F238E27FC236}">
                      <a16:creationId xmlns:a16="http://schemas.microsoft.com/office/drawing/2014/main" id="{0C042536-8543-825A-7324-33B3B80788EF}"/>
                    </a:ext>
                  </a:extLst>
                </xdr:cNvPr>
                <xdr:cNvSpPr/>
              </xdr:nvSpPr>
              <xdr:spPr>
                <a:xfrm rot="4345476">
                  <a:off x="3367047" y="3108985"/>
                  <a:ext cx="181068" cy="1426521"/>
                </a:xfrm>
                <a:prstGeom prst="triangle">
                  <a:avLst>
                    <a:gd name="adj" fmla="val 63429"/>
                  </a:avLst>
                </a:prstGeom>
                <a:solidFill>
                  <a:schemeClr val="bg1">
                    <a:alpha val="27059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n-GB"/>
                </a:p>
              </xdr:txBody>
            </xdr:sp>
          </xdr:grpSp>
          <xdr:cxnSp macro="">
            <xdr:nvCxnSpPr>
              <xdr:cNvPr id="63" name="Straight Arrow Connector 62">
                <a:extLst>
                  <a:ext uri="{FF2B5EF4-FFF2-40B4-BE49-F238E27FC236}">
                    <a16:creationId xmlns:a16="http://schemas.microsoft.com/office/drawing/2014/main" id="{7B18D982-1A02-78FF-9B7A-4617EEDEEA8A}"/>
                  </a:ext>
                </a:extLst>
              </xdr:cNvPr>
              <xdr:cNvCxnSpPr>
                <a:stCxn id="41" idx="3"/>
              </xdr:cNvCxnSpPr>
            </xdr:nvCxnSpPr>
            <xdr:spPr>
              <a:xfrm flipV="1">
                <a:off x="2803779" y="2601187"/>
                <a:ext cx="1444844" cy="1568465"/>
              </a:xfrm>
              <a:prstGeom prst="straightConnector1">
                <a:avLst/>
              </a:prstGeom>
              <a:ln>
                <a:solidFill>
                  <a:schemeClr val="bg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4" name="Straight Arrow Connector 63">
                <a:extLst>
                  <a:ext uri="{FF2B5EF4-FFF2-40B4-BE49-F238E27FC236}">
                    <a16:creationId xmlns:a16="http://schemas.microsoft.com/office/drawing/2014/main" id="{B4EA8040-E391-8231-1E9F-9416CB4C3281}"/>
                  </a:ext>
                </a:extLst>
              </xdr:cNvPr>
              <xdr:cNvCxnSpPr>
                <a:endCxn id="66" idx="2"/>
              </xdr:cNvCxnSpPr>
            </xdr:nvCxnSpPr>
            <xdr:spPr>
              <a:xfrm>
                <a:off x="2562225" y="2978944"/>
                <a:ext cx="1491745" cy="1414972"/>
              </a:xfrm>
              <a:prstGeom prst="straightConnector1">
                <a:avLst/>
              </a:prstGeom>
              <a:ln>
                <a:solidFill>
                  <a:schemeClr val="bg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58" name="TextBox 20">
              <a:extLst>
                <a:ext uri="{FF2B5EF4-FFF2-40B4-BE49-F238E27FC236}">
                  <a16:creationId xmlns:a16="http://schemas.microsoft.com/office/drawing/2014/main" id="{F7688A46-1AA1-E53F-5BAD-C67401411F43}"/>
                </a:ext>
              </a:extLst>
            </xdr:cNvPr>
            <xdr:cNvSpPr txBox="1"/>
          </xdr:nvSpPr>
          <xdr:spPr>
            <a:xfrm>
              <a:off x="2651585" y="2684090"/>
              <a:ext cx="34906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900" b="1">
                  <a:solidFill>
                    <a:schemeClr val="bg1"/>
                  </a:solidFill>
                </a:rPr>
                <a:t>D2</a:t>
              </a:r>
            </a:p>
          </xdr:txBody>
        </xdr:sp>
        <xdr:sp macro="" textlink="">
          <xdr:nvSpPr>
            <xdr:cNvPr id="59" name="TextBox 55">
              <a:extLst>
                <a:ext uri="{FF2B5EF4-FFF2-40B4-BE49-F238E27FC236}">
                  <a16:creationId xmlns:a16="http://schemas.microsoft.com/office/drawing/2014/main" id="{4393A31A-32C8-880E-C535-39A250226917}"/>
                </a:ext>
              </a:extLst>
            </xdr:cNvPr>
            <xdr:cNvSpPr txBox="1"/>
          </xdr:nvSpPr>
          <xdr:spPr>
            <a:xfrm>
              <a:off x="3934043" y="2456916"/>
              <a:ext cx="34906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900" b="1">
                  <a:solidFill>
                    <a:schemeClr val="bg1"/>
                  </a:solidFill>
                </a:rPr>
                <a:t>D1</a:t>
              </a:r>
            </a:p>
          </xdr:txBody>
        </xdr:sp>
        <xdr:sp macro="" textlink="">
          <xdr:nvSpPr>
            <xdr:cNvPr id="60" name="TextBox 56">
              <a:extLst>
                <a:ext uri="{FF2B5EF4-FFF2-40B4-BE49-F238E27FC236}">
                  <a16:creationId xmlns:a16="http://schemas.microsoft.com/office/drawing/2014/main" id="{9E7E3B86-80BC-23A2-57E1-5B0D965720CC}"/>
                </a:ext>
              </a:extLst>
            </xdr:cNvPr>
            <xdr:cNvSpPr txBox="1"/>
          </xdr:nvSpPr>
          <xdr:spPr>
            <a:xfrm>
              <a:off x="5299935" y="2634325"/>
              <a:ext cx="34906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900" b="1">
                  <a:solidFill>
                    <a:schemeClr val="bg1"/>
                  </a:solidFill>
                </a:rPr>
                <a:t>D2</a:t>
              </a:r>
            </a:p>
          </xdr:txBody>
        </xdr:sp>
        <xdr:sp macro="" textlink="">
          <xdr:nvSpPr>
            <xdr:cNvPr id="61" name="TextBox 57">
              <a:extLst>
                <a:ext uri="{FF2B5EF4-FFF2-40B4-BE49-F238E27FC236}">
                  <a16:creationId xmlns:a16="http://schemas.microsoft.com/office/drawing/2014/main" id="{6EE936DF-F725-262D-E52F-FD74633C9E6D}"/>
                </a:ext>
              </a:extLst>
            </xdr:cNvPr>
            <xdr:cNvSpPr txBox="1"/>
          </xdr:nvSpPr>
          <xdr:spPr>
            <a:xfrm>
              <a:off x="6926157" y="2564815"/>
              <a:ext cx="34906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900" b="1">
                  <a:solidFill>
                    <a:schemeClr val="bg1"/>
                  </a:solidFill>
                </a:rPr>
                <a:t>D1</a:t>
              </a:r>
            </a:p>
          </xdr:txBody>
        </xdr:sp>
      </xdr:grpSp>
      <xdr:sp macro="" textlink="">
        <xdr:nvSpPr>
          <xdr:cNvPr id="36" name="TextBox 50">
            <a:extLst>
              <a:ext uri="{FF2B5EF4-FFF2-40B4-BE49-F238E27FC236}">
                <a16:creationId xmlns:a16="http://schemas.microsoft.com/office/drawing/2014/main" id="{241ACB1D-9A58-F7BA-DDCD-C95BF0CB02C5}"/>
              </a:ext>
            </a:extLst>
          </xdr:cNvPr>
          <xdr:cNvSpPr txBox="1"/>
        </xdr:nvSpPr>
        <xdr:spPr>
          <a:xfrm>
            <a:off x="8971013" y="7756966"/>
            <a:ext cx="350876" cy="191572"/>
          </a:xfrm>
          <a:prstGeom prst="rect">
            <a:avLst/>
          </a:prstGeom>
          <a:noFill/>
        </xdr:spPr>
        <xdr:txBody>
          <a:bodyPr wrap="square" lIns="0" tIns="0" rIns="0" bIns="0" rtlCol="0" anchor="ctr" anchorCtr="1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/>
              <a:t>y</a:t>
            </a:r>
            <a:r>
              <a:rPr lang="en-GB" sz="1100" b="1" baseline="-25000"/>
              <a:t>ce</a:t>
            </a:r>
          </a:p>
        </xdr:txBody>
      </xdr:sp>
      <xdr:sp macro="" textlink="">
        <xdr:nvSpPr>
          <xdr:cNvPr id="37" name="TextBox 51">
            <a:extLst>
              <a:ext uri="{FF2B5EF4-FFF2-40B4-BE49-F238E27FC236}">
                <a16:creationId xmlns:a16="http://schemas.microsoft.com/office/drawing/2014/main" id="{05D3AB07-9DF8-9A00-BE55-F468A2A357A4}"/>
              </a:ext>
            </a:extLst>
          </xdr:cNvPr>
          <xdr:cNvSpPr txBox="1"/>
        </xdr:nvSpPr>
        <xdr:spPr>
          <a:xfrm>
            <a:off x="8758676" y="7981896"/>
            <a:ext cx="324980" cy="159232"/>
          </a:xfrm>
          <a:prstGeom prst="rect">
            <a:avLst/>
          </a:prstGeom>
          <a:noFill/>
        </xdr:spPr>
        <xdr:txBody>
          <a:bodyPr wrap="square" lIns="0" tIns="0" rIns="0" bIns="0" rtlCol="0" anchor="ctr" anchorCtr="1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/>
              <a:t>x</a:t>
            </a:r>
            <a:r>
              <a:rPr lang="en-GB" sz="1100" b="1" baseline="-25000"/>
              <a:t>ce</a:t>
            </a:r>
          </a:p>
        </xdr:txBody>
      </xdr:sp>
      <xdr:cxnSp macro="">
        <xdr:nvCxnSpPr>
          <xdr:cNvPr id="38" name="Straight Arrow Connector 37">
            <a:extLst>
              <a:ext uri="{FF2B5EF4-FFF2-40B4-BE49-F238E27FC236}">
                <a16:creationId xmlns:a16="http://schemas.microsoft.com/office/drawing/2014/main" id="{D3382F80-1B56-40BC-0F0D-4B788446F68E}"/>
              </a:ext>
            </a:extLst>
          </xdr:cNvPr>
          <xdr:cNvCxnSpPr/>
        </xdr:nvCxnSpPr>
        <xdr:spPr>
          <a:xfrm>
            <a:off x="9032319" y="7750216"/>
            <a:ext cx="4346" cy="244612"/>
          </a:xfrm>
          <a:prstGeom prst="straightConnector1">
            <a:avLst/>
          </a:prstGeom>
          <a:ln>
            <a:solidFill>
              <a:schemeClr val="tx1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Straight Arrow Connector 38">
            <a:extLst>
              <a:ext uri="{FF2B5EF4-FFF2-40B4-BE49-F238E27FC236}">
                <a16:creationId xmlns:a16="http://schemas.microsoft.com/office/drawing/2014/main" id="{DBFCBF05-1639-E453-6F75-0DD7DB78472E}"/>
              </a:ext>
            </a:extLst>
          </xdr:cNvPr>
          <xdr:cNvCxnSpPr/>
        </xdr:nvCxnSpPr>
        <xdr:spPr>
          <a:xfrm flipH="1">
            <a:off x="8774973" y="7990228"/>
            <a:ext cx="262220" cy="0"/>
          </a:xfrm>
          <a:prstGeom prst="straightConnector1">
            <a:avLst/>
          </a:prstGeom>
          <a:ln>
            <a:solidFill>
              <a:schemeClr val="tx1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TextBox 50">
            <a:extLst>
              <a:ext uri="{FF2B5EF4-FFF2-40B4-BE49-F238E27FC236}">
                <a16:creationId xmlns:a16="http://schemas.microsoft.com/office/drawing/2014/main" id="{BC536794-6E9B-0363-D492-DE0A8168ED19}"/>
              </a:ext>
            </a:extLst>
          </xdr:cNvPr>
          <xdr:cNvSpPr txBox="1"/>
        </xdr:nvSpPr>
        <xdr:spPr>
          <a:xfrm>
            <a:off x="8909189" y="7552495"/>
            <a:ext cx="351745" cy="191572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1100" b="1" baseline="0">
                <a:solidFill>
                  <a:srgbClr val="FF0000"/>
                </a:solidFill>
              </a:rPr>
              <a:t>Oe</a:t>
            </a:r>
            <a:endParaRPr lang="en-GB" sz="1100" b="1" baseline="-25000">
              <a:solidFill>
                <a:srgbClr val="FF0000"/>
              </a:solidFill>
            </a:endParaRPr>
          </a:p>
        </xdr:txBody>
      </xdr:sp>
      <xdr:sp macro="" textlink="">
        <xdr:nvSpPr>
          <xdr:cNvPr id="41" name="Flowchart: Connector 40">
            <a:extLst>
              <a:ext uri="{FF2B5EF4-FFF2-40B4-BE49-F238E27FC236}">
                <a16:creationId xmlns:a16="http://schemas.microsoft.com/office/drawing/2014/main" id="{82CCFC54-4C00-5A81-FB6A-BC29A96BE0CF}"/>
              </a:ext>
            </a:extLst>
          </xdr:cNvPr>
          <xdr:cNvSpPr/>
        </xdr:nvSpPr>
        <xdr:spPr>
          <a:xfrm>
            <a:off x="7719392" y="6344478"/>
            <a:ext cx="2824370" cy="2683565"/>
          </a:xfrm>
          <a:prstGeom prst="flowChartConnector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Flowchart: Connector 41">
            <a:extLst>
              <a:ext uri="{FF2B5EF4-FFF2-40B4-BE49-F238E27FC236}">
                <a16:creationId xmlns:a16="http://schemas.microsoft.com/office/drawing/2014/main" id="{6CD82B8F-6012-D84A-C910-24373455F4F2}"/>
              </a:ext>
            </a:extLst>
          </xdr:cNvPr>
          <xdr:cNvSpPr/>
        </xdr:nvSpPr>
        <xdr:spPr>
          <a:xfrm>
            <a:off x="5160065" y="6485283"/>
            <a:ext cx="2468218" cy="2385391"/>
          </a:xfrm>
          <a:prstGeom prst="flowChartConnector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3" name="TextBox 50">
            <a:extLst>
              <a:ext uri="{FF2B5EF4-FFF2-40B4-BE49-F238E27FC236}">
                <a16:creationId xmlns:a16="http://schemas.microsoft.com/office/drawing/2014/main" id="{3D4E286E-ADDB-4B3F-15BE-0DA184D4E3EE}"/>
              </a:ext>
            </a:extLst>
          </xdr:cNvPr>
          <xdr:cNvSpPr txBox="1"/>
        </xdr:nvSpPr>
        <xdr:spPr>
          <a:xfrm>
            <a:off x="8864728" y="7646140"/>
            <a:ext cx="351745" cy="191572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1100" b="1">
                <a:solidFill>
                  <a:srgbClr val="FF0000"/>
                </a:solidFill>
              </a:rPr>
              <a:t>+</a:t>
            </a:r>
            <a:endParaRPr lang="en-GB" sz="1100" b="1" baseline="-25000">
              <a:solidFill>
                <a:srgbClr val="FF0000"/>
              </a:solidFill>
            </a:endParaRPr>
          </a:p>
        </xdr:txBody>
      </xdr:sp>
      <xdr:sp macro="" textlink="">
        <xdr:nvSpPr>
          <xdr:cNvPr id="44" name="TextBox 50">
            <a:extLst>
              <a:ext uri="{FF2B5EF4-FFF2-40B4-BE49-F238E27FC236}">
                <a16:creationId xmlns:a16="http://schemas.microsoft.com/office/drawing/2014/main" id="{CC557B15-5993-801E-B4E7-A0CE81A58206}"/>
              </a:ext>
            </a:extLst>
          </xdr:cNvPr>
          <xdr:cNvSpPr txBox="1"/>
        </xdr:nvSpPr>
        <xdr:spPr>
          <a:xfrm>
            <a:off x="6307326" y="7735431"/>
            <a:ext cx="350876" cy="191572"/>
          </a:xfrm>
          <a:prstGeom prst="rect">
            <a:avLst/>
          </a:prstGeom>
          <a:noFill/>
        </xdr:spPr>
        <xdr:txBody>
          <a:bodyPr wrap="square" lIns="0" tIns="0" rIns="0" bIns="0" rtlCol="0" anchor="ctr" anchorCtr="1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/>
              <a:t>y</a:t>
            </a:r>
            <a:r>
              <a:rPr lang="en-GB" sz="1100" b="1" baseline="-25000"/>
              <a:t>cr</a:t>
            </a:r>
          </a:p>
        </xdr:txBody>
      </xdr:sp>
      <xdr:sp macro="" textlink="">
        <xdr:nvSpPr>
          <xdr:cNvPr id="45" name="TextBox 51">
            <a:extLst>
              <a:ext uri="{FF2B5EF4-FFF2-40B4-BE49-F238E27FC236}">
                <a16:creationId xmlns:a16="http://schemas.microsoft.com/office/drawing/2014/main" id="{A0BE8BE2-69FB-6E6D-3982-0244F67EA06C}"/>
              </a:ext>
            </a:extLst>
          </xdr:cNvPr>
          <xdr:cNvSpPr txBox="1"/>
        </xdr:nvSpPr>
        <xdr:spPr>
          <a:xfrm>
            <a:off x="6094989" y="7960361"/>
            <a:ext cx="324980" cy="159232"/>
          </a:xfrm>
          <a:prstGeom prst="rect">
            <a:avLst/>
          </a:prstGeom>
          <a:noFill/>
        </xdr:spPr>
        <xdr:txBody>
          <a:bodyPr wrap="square" lIns="0" tIns="0" rIns="0" bIns="0" rtlCol="0" anchor="ctr" anchorCtr="1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/>
              <a:t>x</a:t>
            </a:r>
            <a:r>
              <a:rPr lang="en-GB" sz="1100" b="1" baseline="-25000"/>
              <a:t>cr</a:t>
            </a:r>
          </a:p>
        </xdr:txBody>
      </xdr:sp>
      <xdr:cxnSp macro="">
        <xdr:nvCxnSpPr>
          <xdr:cNvPr id="46" name="Straight Arrow Connector 45">
            <a:extLst>
              <a:ext uri="{FF2B5EF4-FFF2-40B4-BE49-F238E27FC236}">
                <a16:creationId xmlns:a16="http://schemas.microsoft.com/office/drawing/2014/main" id="{3A4F7096-9EBD-51D6-5E1B-D58D3DB8D1CE}"/>
              </a:ext>
            </a:extLst>
          </xdr:cNvPr>
          <xdr:cNvCxnSpPr/>
        </xdr:nvCxnSpPr>
        <xdr:spPr>
          <a:xfrm>
            <a:off x="6368632" y="7728681"/>
            <a:ext cx="4346" cy="244612"/>
          </a:xfrm>
          <a:prstGeom prst="straightConnector1">
            <a:avLst/>
          </a:prstGeom>
          <a:ln>
            <a:solidFill>
              <a:schemeClr val="tx1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" name="Straight Arrow Connector 46">
            <a:extLst>
              <a:ext uri="{FF2B5EF4-FFF2-40B4-BE49-F238E27FC236}">
                <a16:creationId xmlns:a16="http://schemas.microsoft.com/office/drawing/2014/main" id="{F23B9D3A-4430-DE11-CDCE-5DC00DBAFC2A}"/>
              </a:ext>
            </a:extLst>
          </xdr:cNvPr>
          <xdr:cNvCxnSpPr/>
        </xdr:nvCxnSpPr>
        <xdr:spPr>
          <a:xfrm flipH="1">
            <a:off x="6111286" y="7968693"/>
            <a:ext cx="262220" cy="0"/>
          </a:xfrm>
          <a:prstGeom prst="straightConnector1">
            <a:avLst/>
          </a:prstGeom>
          <a:ln>
            <a:solidFill>
              <a:schemeClr val="tx1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TextBox 50">
            <a:extLst>
              <a:ext uri="{FF2B5EF4-FFF2-40B4-BE49-F238E27FC236}">
                <a16:creationId xmlns:a16="http://schemas.microsoft.com/office/drawing/2014/main" id="{03209E13-AF7B-812A-7AEC-3927BA3012C1}"/>
              </a:ext>
            </a:extLst>
          </xdr:cNvPr>
          <xdr:cNvSpPr txBox="1"/>
        </xdr:nvSpPr>
        <xdr:spPr>
          <a:xfrm>
            <a:off x="6245502" y="7530960"/>
            <a:ext cx="351745" cy="191572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1100" b="1" baseline="0">
                <a:solidFill>
                  <a:srgbClr val="FF0000"/>
                </a:solidFill>
              </a:rPr>
              <a:t>Or</a:t>
            </a:r>
            <a:endParaRPr lang="en-GB" sz="1100" b="1" baseline="-25000">
              <a:solidFill>
                <a:srgbClr val="FF0000"/>
              </a:solidFill>
            </a:endParaRPr>
          </a:p>
        </xdr:txBody>
      </xdr:sp>
      <xdr:sp macro="" textlink="">
        <xdr:nvSpPr>
          <xdr:cNvPr id="49" name="TextBox 50">
            <a:extLst>
              <a:ext uri="{FF2B5EF4-FFF2-40B4-BE49-F238E27FC236}">
                <a16:creationId xmlns:a16="http://schemas.microsoft.com/office/drawing/2014/main" id="{A6A8CD1F-8DC6-3F7E-6B24-AB21B572F747}"/>
              </a:ext>
            </a:extLst>
          </xdr:cNvPr>
          <xdr:cNvSpPr txBox="1"/>
        </xdr:nvSpPr>
        <xdr:spPr>
          <a:xfrm>
            <a:off x="6184476" y="7616323"/>
            <a:ext cx="351745" cy="191572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1100" b="1">
                <a:solidFill>
                  <a:srgbClr val="FF0000"/>
                </a:solidFill>
              </a:rPr>
              <a:t>+</a:t>
            </a:r>
            <a:endParaRPr lang="en-GB" sz="1100" b="1" baseline="-25000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3</xdr:col>
      <xdr:colOff>740020</xdr:colOff>
      <xdr:row>46</xdr:row>
      <xdr:rowOff>36634</xdr:rowOff>
    </xdr:from>
    <xdr:to>
      <xdr:col>8</xdr:col>
      <xdr:colOff>461596</xdr:colOff>
      <xdr:row>55</xdr:row>
      <xdr:rowOff>102575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C222BB8-A707-4565-8F78-AB1D412A01D3}"/>
            </a:ext>
          </a:extLst>
        </xdr:cNvPr>
        <xdr:cNvGrpSpPr/>
      </xdr:nvGrpSpPr>
      <xdr:grpSpPr>
        <a:xfrm>
          <a:off x="2532961" y="10480516"/>
          <a:ext cx="3979811" cy="1780441"/>
          <a:chOff x="402950" y="10908197"/>
          <a:chExt cx="6165160" cy="284631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D361CB8E-6767-1FF2-B34B-07F950E84436}"/>
              </a:ext>
            </a:extLst>
          </xdr:cNvPr>
          <xdr:cNvGrpSpPr/>
        </xdr:nvGrpSpPr>
        <xdr:grpSpPr>
          <a:xfrm>
            <a:off x="402950" y="10911508"/>
            <a:ext cx="6151907" cy="2843004"/>
            <a:chOff x="4391855" y="6344478"/>
            <a:chExt cx="6151907" cy="2843004"/>
          </a:xfrm>
        </xdr:grpSpPr>
        <xdr:grpSp>
          <xdr:nvGrpSpPr>
            <xdr:cNvPr id="6" name="Group 5">
              <a:extLst>
                <a:ext uri="{FF2B5EF4-FFF2-40B4-BE49-F238E27FC236}">
                  <a16:creationId xmlns:a16="http://schemas.microsoft.com/office/drawing/2014/main" id="{893FFF2E-ECAA-F1EC-8DA8-10C7F2569EBB}"/>
                </a:ext>
              </a:extLst>
            </xdr:cNvPr>
            <xdr:cNvGrpSpPr/>
          </xdr:nvGrpSpPr>
          <xdr:grpSpPr>
            <a:xfrm>
              <a:off x="4391855" y="6551543"/>
              <a:ext cx="5837167" cy="2635939"/>
              <a:chOff x="1676400" y="1905000"/>
              <a:chExt cx="5943600" cy="2971800"/>
            </a:xfrm>
          </xdr:grpSpPr>
          <xdr:sp macro="" textlink="">
            <xdr:nvSpPr>
              <xdr:cNvPr id="91" name="Flowchart: Alternate Process 90">
                <a:extLst>
                  <a:ext uri="{FF2B5EF4-FFF2-40B4-BE49-F238E27FC236}">
                    <a16:creationId xmlns:a16="http://schemas.microsoft.com/office/drawing/2014/main" id="{B2B8D3C0-2B60-C08D-E52D-07AC1411F0F9}"/>
                  </a:ext>
                </a:extLst>
              </xdr:cNvPr>
              <xdr:cNvSpPr/>
            </xdr:nvSpPr>
            <xdr:spPr>
              <a:xfrm>
                <a:off x="1676400" y="1905000"/>
                <a:ext cx="5943600" cy="2971800"/>
              </a:xfrm>
              <a:prstGeom prst="flowChartAlternateProcess">
                <a:avLst/>
              </a:prstGeom>
              <a:solidFill>
                <a:schemeClr val="bg1">
                  <a:lumMod val="6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pic>
            <xdr:nvPicPr>
              <xdr:cNvPr id="92" name="Picture 91">
                <a:extLst>
                  <a:ext uri="{FF2B5EF4-FFF2-40B4-BE49-F238E27FC236}">
                    <a16:creationId xmlns:a16="http://schemas.microsoft.com/office/drawing/2014/main" id="{834D975D-969F-4FBD-67D1-66E7419E7A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/>
              <a:stretch>
                <a:fillRect/>
              </a:stretch>
            </xdr:blipFill>
            <xdr:spPr>
              <a:xfrm>
                <a:off x="2290762" y="2314575"/>
                <a:ext cx="4562475" cy="2228850"/>
              </a:xfrm>
              <a:prstGeom prst="rect">
                <a:avLst/>
              </a:prstGeom>
            </xdr:spPr>
          </xdr:pic>
          <xdr:sp macro="" textlink="">
            <xdr:nvSpPr>
              <xdr:cNvPr id="93" name="Rectangle 92">
                <a:extLst>
                  <a:ext uri="{FF2B5EF4-FFF2-40B4-BE49-F238E27FC236}">
                    <a16:creationId xmlns:a16="http://schemas.microsoft.com/office/drawing/2014/main" id="{183EC578-BD0A-8E2C-C652-D7CEF75552B7}"/>
                  </a:ext>
                </a:extLst>
              </xdr:cNvPr>
              <xdr:cNvSpPr/>
            </xdr:nvSpPr>
            <xdr:spPr>
              <a:xfrm>
                <a:off x="2197345" y="2278380"/>
                <a:ext cx="187715" cy="2438400"/>
              </a:xfrm>
              <a:prstGeom prst="rect">
                <a:avLst/>
              </a:prstGeom>
              <a:solidFill>
                <a:schemeClr val="bg1">
                  <a:lumMod val="6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sp macro="" textlink="">
            <xdr:nvSpPr>
              <xdr:cNvPr id="94" name="Rectangle 93">
                <a:extLst>
                  <a:ext uri="{FF2B5EF4-FFF2-40B4-BE49-F238E27FC236}">
                    <a16:creationId xmlns:a16="http://schemas.microsoft.com/office/drawing/2014/main" id="{5E125EF3-C18A-B5B3-B825-44A13A4D56D9}"/>
                  </a:ext>
                </a:extLst>
              </xdr:cNvPr>
              <xdr:cNvSpPr/>
            </xdr:nvSpPr>
            <xdr:spPr>
              <a:xfrm>
                <a:off x="6797920" y="2118410"/>
                <a:ext cx="76200" cy="2438400"/>
              </a:xfrm>
              <a:prstGeom prst="rect">
                <a:avLst/>
              </a:prstGeom>
              <a:solidFill>
                <a:schemeClr val="bg1">
                  <a:lumMod val="6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sp macro="" textlink="">
            <xdr:nvSpPr>
              <xdr:cNvPr id="95" name="Rectangle 94">
                <a:extLst>
                  <a:ext uri="{FF2B5EF4-FFF2-40B4-BE49-F238E27FC236}">
                    <a16:creationId xmlns:a16="http://schemas.microsoft.com/office/drawing/2014/main" id="{EA539BD0-524A-7848-65BD-BD9F9251F232}"/>
                  </a:ext>
                </a:extLst>
              </xdr:cNvPr>
              <xdr:cNvSpPr/>
            </xdr:nvSpPr>
            <xdr:spPr>
              <a:xfrm>
                <a:off x="2286000" y="2293620"/>
                <a:ext cx="4655820" cy="91440"/>
              </a:xfrm>
              <a:prstGeom prst="rect">
                <a:avLst/>
              </a:prstGeom>
              <a:solidFill>
                <a:schemeClr val="bg1">
                  <a:lumMod val="6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sp macro="" textlink="">
            <xdr:nvSpPr>
              <xdr:cNvPr id="96" name="Rectangle 95">
                <a:extLst>
                  <a:ext uri="{FF2B5EF4-FFF2-40B4-BE49-F238E27FC236}">
                    <a16:creationId xmlns:a16="http://schemas.microsoft.com/office/drawing/2014/main" id="{B24816CA-AE3A-86A8-B3EB-1F5F8B97F847}"/>
                  </a:ext>
                </a:extLst>
              </xdr:cNvPr>
              <xdr:cNvSpPr/>
            </xdr:nvSpPr>
            <xdr:spPr>
              <a:xfrm>
                <a:off x="2254328" y="4479658"/>
                <a:ext cx="4655820" cy="91440"/>
              </a:xfrm>
              <a:prstGeom prst="rect">
                <a:avLst/>
              </a:prstGeom>
              <a:solidFill>
                <a:schemeClr val="bg1">
                  <a:lumMod val="6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grpSp>
            <xdr:nvGrpSpPr>
              <xdr:cNvPr id="97" name="Group 96">
                <a:extLst>
                  <a:ext uri="{FF2B5EF4-FFF2-40B4-BE49-F238E27FC236}">
                    <a16:creationId xmlns:a16="http://schemas.microsoft.com/office/drawing/2014/main" id="{C187716E-FD2F-81E1-5A69-35DC8229A9F2}"/>
                  </a:ext>
                </a:extLst>
              </xdr:cNvPr>
              <xdr:cNvGrpSpPr/>
            </xdr:nvGrpSpPr>
            <xdr:grpSpPr>
              <a:xfrm>
                <a:off x="2536996" y="2254670"/>
                <a:ext cx="2142359" cy="2093440"/>
                <a:chOff x="2562225" y="2598419"/>
                <a:chExt cx="1793556" cy="1752602"/>
              </a:xfrm>
            </xdr:grpSpPr>
            <xdr:grpSp>
              <xdr:nvGrpSpPr>
                <xdr:cNvPr id="115" name="Group 114">
                  <a:extLst>
                    <a:ext uri="{FF2B5EF4-FFF2-40B4-BE49-F238E27FC236}">
                      <a16:creationId xmlns:a16="http://schemas.microsoft.com/office/drawing/2014/main" id="{FF5DF720-3463-0FEF-DA91-0101946E0508}"/>
                    </a:ext>
                  </a:extLst>
                </xdr:cNvPr>
                <xdr:cNvGrpSpPr/>
              </xdr:nvGrpSpPr>
              <xdr:grpSpPr>
                <a:xfrm>
                  <a:off x="2562226" y="2598419"/>
                  <a:ext cx="1793555" cy="1752602"/>
                  <a:chOff x="2562226" y="2598419"/>
                  <a:chExt cx="1793555" cy="1752602"/>
                </a:xfrm>
              </xdr:grpSpPr>
              <xdr:grpSp>
                <xdr:nvGrpSpPr>
                  <xdr:cNvPr id="118" name="Group 117">
                    <a:extLst>
                      <a:ext uri="{FF2B5EF4-FFF2-40B4-BE49-F238E27FC236}">
                        <a16:creationId xmlns:a16="http://schemas.microsoft.com/office/drawing/2014/main" id="{F59D27D6-3722-3512-9AF3-9ADBE53B325A}"/>
                      </a:ext>
                    </a:extLst>
                  </xdr:cNvPr>
                  <xdr:cNvGrpSpPr/>
                </xdr:nvGrpSpPr>
                <xdr:grpSpPr>
                  <a:xfrm rot="10800000">
                    <a:off x="2562226" y="2598419"/>
                    <a:ext cx="1689733" cy="1752602"/>
                    <a:chOff x="2590798" y="3124199"/>
                    <a:chExt cx="4091725" cy="2819401"/>
                  </a:xfrm>
                </xdr:grpSpPr>
                <xdr:cxnSp macro="">
                  <xdr:nvCxnSpPr>
                    <xdr:cNvPr id="123" name="Straight Connector 122">
                      <a:extLst>
                        <a:ext uri="{FF2B5EF4-FFF2-40B4-BE49-F238E27FC236}">
                          <a16:creationId xmlns:a16="http://schemas.microsoft.com/office/drawing/2014/main" id="{5F3B9D50-6BEE-D59C-6470-DD3E0E20D096}"/>
                        </a:ext>
                      </a:extLst>
                    </xdr:cNvPr>
                    <xdr:cNvCxnSpPr/>
                  </xdr:nvCxnSpPr>
                  <xdr:spPr>
                    <a:xfrm rot="10800000" flipH="1" flipV="1">
                      <a:off x="3047999" y="3124199"/>
                      <a:ext cx="2971800" cy="381000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124" name="Straight Connector 123">
                      <a:extLst>
                        <a:ext uri="{FF2B5EF4-FFF2-40B4-BE49-F238E27FC236}">
                          <a16:creationId xmlns:a16="http://schemas.microsoft.com/office/drawing/2014/main" id="{777FB418-2D6F-340C-D327-5A02C90C3C7F}"/>
                        </a:ext>
                      </a:extLst>
                    </xdr:cNvPr>
                    <xdr:cNvCxnSpPr/>
                  </xdr:nvCxnSpPr>
                  <xdr:spPr>
                    <a:xfrm rot="10800000" flipH="1" flipV="1">
                      <a:off x="6019797" y="3505196"/>
                      <a:ext cx="656960" cy="1826253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125" name="Straight Connector 124">
                      <a:extLst>
                        <a:ext uri="{FF2B5EF4-FFF2-40B4-BE49-F238E27FC236}">
                          <a16:creationId xmlns:a16="http://schemas.microsoft.com/office/drawing/2014/main" id="{D55B5559-133E-92A4-E88D-C4BCEAFF6306}"/>
                        </a:ext>
                      </a:extLst>
                    </xdr:cNvPr>
                    <xdr:cNvCxnSpPr/>
                  </xdr:nvCxnSpPr>
                  <xdr:spPr>
                    <a:xfrm rot="10800000" flipV="1">
                      <a:off x="2590800" y="5323789"/>
                      <a:ext cx="4091723" cy="619809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126" name="Straight Connector 125">
                      <a:extLst>
                        <a:ext uri="{FF2B5EF4-FFF2-40B4-BE49-F238E27FC236}">
                          <a16:creationId xmlns:a16="http://schemas.microsoft.com/office/drawing/2014/main" id="{1A96CC08-FA5E-60B1-05CE-A4E1D1522C2F}"/>
                        </a:ext>
                      </a:extLst>
                    </xdr:cNvPr>
                    <xdr:cNvCxnSpPr/>
                  </xdr:nvCxnSpPr>
                  <xdr:spPr>
                    <a:xfrm rot="10800000" flipH="1">
                      <a:off x="2590798" y="3124200"/>
                      <a:ext cx="457199" cy="2819400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</xdr:grpSp>
              <xdr:sp macro="" textlink="">
                <xdr:nvSpPr>
                  <xdr:cNvPr id="119" name="Rectangle 118">
                    <a:extLst>
                      <a:ext uri="{FF2B5EF4-FFF2-40B4-BE49-F238E27FC236}">
                        <a16:creationId xmlns:a16="http://schemas.microsoft.com/office/drawing/2014/main" id="{BDBAADC4-9BC9-2912-23C0-AD95453296B0}"/>
                      </a:ext>
                    </a:extLst>
                  </xdr:cNvPr>
                  <xdr:cNvSpPr/>
                </xdr:nvSpPr>
                <xdr:spPr>
                  <a:xfrm rot="4634191">
                    <a:off x="2861243" y="2614970"/>
                    <a:ext cx="981834" cy="1384746"/>
                  </a:xfrm>
                  <a:prstGeom prst="rect">
                    <a:avLst/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  <xdr:sp macro="" textlink="">
                <xdr:nvSpPr>
                  <xdr:cNvPr id="120" name="Isosceles Triangle 119">
                    <a:extLst>
                      <a:ext uri="{FF2B5EF4-FFF2-40B4-BE49-F238E27FC236}">
                        <a16:creationId xmlns:a16="http://schemas.microsoft.com/office/drawing/2014/main" id="{95479C5B-62D9-F266-3E83-341F84617F5C}"/>
                      </a:ext>
                    </a:extLst>
                  </xdr:cNvPr>
                  <xdr:cNvSpPr/>
                </xdr:nvSpPr>
                <xdr:spPr>
                  <a:xfrm rot="10106290">
                    <a:off x="4014281" y="2629960"/>
                    <a:ext cx="341500" cy="988535"/>
                  </a:xfrm>
                  <a:prstGeom prst="triangle">
                    <a:avLst>
                      <a:gd name="adj" fmla="val 94287"/>
                    </a:avLst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  <xdr:sp macro="" textlink="">
                <xdr:nvSpPr>
                  <xdr:cNvPr id="121" name="Isosceles Triangle 120">
                    <a:extLst>
                      <a:ext uri="{FF2B5EF4-FFF2-40B4-BE49-F238E27FC236}">
                        <a16:creationId xmlns:a16="http://schemas.microsoft.com/office/drawing/2014/main" id="{AB8BA300-03F7-AC68-E534-6B4737961E31}"/>
                      </a:ext>
                    </a:extLst>
                  </xdr:cNvPr>
                  <xdr:cNvSpPr/>
                </xdr:nvSpPr>
                <xdr:spPr>
                  <a:xfrm rot="16608172">
                    <a:off x="3123051" y="3290692"/>
                    <a:ext cx="717795" cy="1247153"/>
                  </a:xfrm>
                  <a:prstGeom prst="triangle">
                    <a:avLst>
                      <a:gd name="adj" fmla="val 11150"/>
                    </a:avLst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  <xdr:sp macro="" textlink="">
                <xdr:nvSpPr>
                  <xdr:cNvPr id="122" name="Isosceles Triangle 121">
                    <a:extLst>
                      <a:ext uri="{FF2B5EF4-FFF2-40B4-BE49-F238E27FC236}">
                        <a16:creationId xmlns:a16="http://schemas.microsoft.com/office/drawing/2014/main" id="{DAA52FD6-B079-CCCA-6FF7-5532895000BF}"/>
                      </a:ext>
                    </a:extLst>
                  </xdr:cNvPr>
                  <xdr:cNvSpPr/>
                </xdr:nvSpPr>
                <xdr:spPr>
                  <a:xfrm rot="4345476">
                    <a:off x="3386313" y="3124511"/>
                    <a:ext cx="183805" cy="1384022"/>
                  </a:xfrm>
                  <a:prstGeom prst="triangle">
                    <a:avLst>
                      <a:gd name="adj" fmla="val 63429"/>
                    </a:avLst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</xdr:grpSp>
            <xdr:cxnSp macro="">
              <xdr:nvCxnSpPr>
                <xdr:cNvPr id="116" name="Straight Arrow Connector 115">
                  <a:extLst>
                    <a:ext uri="{FF2B5EF4-FFF2-40B4-BE49-F238E27FC236}">
                      <a16:creationId xmlns:a16="http://schemas.microsoft.com/office/drawing/2014/main" id="{D41B1267-46B6-22B9-B9B6-6E26912DAD6E}"/>
                    </a:ext>
                  </a:extLst>
                </xdr:cNvPr>
                <xdr:cNvCxnSpPr>
                  <a:stCxn id="122" idx="4"/>
                  <a:endCxn id="120" idx="2"/>
                </xdr:cNvCxnSpPr>
              </xdr:nvCxnSpPr>
              <xdr:spPr>
                <a:xfrm flipV="1">
                  <a:off x="2846258" y="2605767"/>
                  <a:ext cx="1406994" cy="1507328"/>
                </a:xfrm>
                <a:prstGeom prst="straightConnector1">
                  <a:avLst/>
                </a:prstGeom>
                <a:ln>
                  <a:solidFill>
                    <a:schemeClr val="bg1"/>
                  </a:solidFill>
                  <a:headEnd type="triangle"/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17" name="Straight Arrow Connector 116">
                  <a:extLst>
                    <a:ext uri="{FF2B5EF4-FFF2-40B4-BE49-F238E27FC236}">
                      <a16:creationId xmlns:a16="http://schemas.microsoft.com/office/drawing/2014/main" id="{FCFB93D6-46A1-B676-EC24-1E4DB0689A38}"/>
                    </a:ext>
                  </a:extLst>
                </xdr:cNvPr>
                <xdr:cNvCxnSpPr>
                  <a:endCxn id="121" idx="2"/>
                </xdr:cNvCxnSpPr>
              </xdr:nvCxnSpPr>
              <xdr:spPr>
                <a:xfrm>
                  <a:off x="2562225" y="2978945"/>
                  <a:ext cx="1496397" cy="1365559"/>
                </a:xfrm>
                <a:prstGeom prst="straightConnector1">
                  <a:avLst/>
                </a:prstGeom>
                <a:ln>
                  <a:solidFill>
                    <a:schemeClr val="bg1"/>
                  </a:solidFill>
                  <a:headEnd type="triangle"/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98" name="Group 97">
                <a:extLst>
                  <a:ext uri="{FF2B5EF4-FFF2-40B4-BE49-F238E27FC236}">
                    <a16:creationId xmlns:a16="http://schemas.microsoft.com/office/drawing/2014/main" id="{1AB6910B-CFC1-EF93-19AF-4F7BD892B6B6}"/>
                  </a:ext>
                </a:extLst>
              </xdr:cNvPr>
              <xdr:cNvGrpSpPr/>
            </xdr:nvGrpSpPr>
            <xdr:grpSpPr>
              <a:xfrm>
                <a:off x="5154587" y="2076451"/>
                <a:ext cx="2459063" cy="2488319"/>
                <a:chOff x="2562225" y="2598420"/>
                <a:chExt cx="1793556" cy="1795496"/>
              </a:xfrm>
            </xdr:grpSpPr>
            <xdr:grpSp>
              <xdr:nvGrpSpPr>
                <xdr:cNvPr id="103" name="Group 102">
                  <a:extLst>
                    <a:ext uri="{FF2B5EF4-FFF2-40B4-BE49-F238E27FC236}">
                      <a16:creationId xmlns:a16="http://schemas.microsoft.com/office/drawing/2014/main" id="{C57E1025-A17B-04A7-81CA-3449E9961E67}"/>
                    </a:ext>
                  </a:extLst>
                </xdr:cNvPr>
                <xdr:cNvGrpSpPr/>
              </xdr:nvGrpSpPr>
              <xdr:grpSpPr>
                <a:xfrm>
                  <a:off x="2562226" y="2598420"/>
                  <a:ext cx="1793555" cy="1752601"/>
                  <a:chOff x="2562226" y="2598420"/>
                  <a:chExt cx="1793555" cy="1752601"/>
                </a:xfrm>
              </xdr:grpSpPr>
              <xdr:sp macro="" textlink="">
                <xdr:nvSpPr>
                  <xdr:cNvPr id="106" name="Rectangle 105">
                    <a:extLst>
                      <a:ext uri="{FF2B5EF4-FFF2-40B4-BE49-F238E27FC236}">
                        <a16:creationId xmlns:a16="http://schemas.microsoft.com/office/drawing/2014/main" id="{FC16C8F3-EB77-9D66-B018-132A61A47396}"/>
                      </a:ext>
                    </a:extLst>
                  </xdr:cNvPr>
                  <xdr:cNvSpPr/>
                </xdr:nvSpPr>
                <xdr:spPr>
                  <a:xfrm rot="4634191">
                    <a:off x="2851186" y="2607154"/>
                    <a:ext cx="981834" cy="1405368"/>
                  </a:xfrm>
                  <a:prstGeom prst="rect">
                    <a:avLst/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  <xdr:sp macro="" textlink="">
                <xdr:nvSpPr>
                  <xdr:cNvPr id="107" name="Isosceles Triangle 106">
                    <a:extLst>
                      <a:ext uri="{FF2B5EF4-FFF2-40B4-BE49-F238E27FC236}">
                        <a16:creationId xmlns:a16="http://schemas.microsoft.com/office/drawing/2014/main" id="{8861CF4C-F484-7A49-8B49-DC1F448CB031}"/>
                      </a:ext>
                    </a:extLst>
                  </xdr:cNvPr>
                  <xdr:cNvSpPr/>
                </xdr:nvSpPr>
                <xdr:spPr>
                  <a:xfrm rot="16608172">
                    <a:off x="3063173" y="3275179"/>
                    <a:ext cx="786026" cy="1289647"/>
                  </a:xfrm>
                  <a:prstGeom prst="triangle">
                    <a:avLst>
                      <a:gd name="adj" fmla="val 9436"/>
                    </a:avLst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  <xdr:grpSp>
                <xdr:nvGrpSpPr>
                  <xdr:cNvPr id="108" name="Group 107">
                    <a:extLst>
                      <a:ext uri="{FF2B5EF4-FFF2-40B4-BE49-F238E27FC236}">
                        <a16:creationId xmlns:a16="http://schemas.microsoft.com/office/drawing/2014/main" id="{8A251109-AD5A-CE52-CFD7-C91F6054972B}"/>
                      </a:ext>
                    </a:extLst>
                  </xdr:cNvPr>
                  <xdr:cNvGrpSpPr/>
                </xdr:nvGrpSpPr>
                <xdr:grpSpPr>
                  <a:xfrm rot="10800000">
                    <a:off x="2562226" y="2598420"/>
                    <a:ext cx="1689733" cy="1752601"/>
                    <a:chOff x="2590798" y="3124200"/>
                    <a:chExt cx="4091725" cy="2819400"/>
                  </a:xfrm>
                </xdr:grpSpPr>
                <xdr:cxnSp macro="">
                  <xdr:nvCxnSpPr>
                    <xdr:cNvPr id="111" name="Straight Connector 110">
                      <a:extLst>
                        <a:ext uri="{FF2B5EF4-FFF2-40B4-BE49-F238E27FC236}">
                          <a16:creationId xmlns:a16="http://schemas.microsoft.com/office/drawing/2014/main" id="{DAA85F30-3838-337E-811F-9C3C3E419286}"/>
                        </a:ext>
                      </a:extLst>
                    </xdr:cNvPr>
                    <xdr:cNvCxnSpPr/>
                  </xdr:nvCxnSpPr>
                  <xdr:spPr>
                    <a:xfrm rot="10800000" flipH="1" flipV="1">
                      <a:off x="3132520" y="3129275"/>
                      <a:ext cx="2917069" cy="300048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112" name="Straight Connector 111">
                      <a:extLst>
                        <a:ext uri="{FF2B5EF4-FFF2-40B4-BE49-F238E27FC236}">
                          <a16:creationId xmlns:a16="http://schemas.microsoft.com/office/drawing/2014/main" id="{9B7357CF-C657-3C00-84B7-4CAB0D200D7F}"/>
                        </a:ext>
                      </a:extLst>
                    </xdr:cNvPr>
                    <xdr:cNvCxnSpPr>
                      <a:stCxn id="86" idx="3"/>
                    </xdr:cNvCxnSpPr>
                  </xdr:nvCxnSpPr>
                  <xdr:spPr>
                    <a:xfrm rot="10800000" flipH="1" flipV="1">
                      <a:off x="6097597" y="3415964"/>
                      <a:ext cx="579157" cy="1915485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113" name="Straight Connector 112">
                      <a:extLst>
                        <a:ext uri="{FF2B5EF4-FFF2-40B4-BE49-F238E27FC236}">
                          <a16:creationId xmlns:a16="http://schemas.microsoft.com/office/drawing/2014/main" id="{E16FAAE2-00DD-2776-C1F0-5DD78106E203}"/>
                        </a:ext>
                      </a:extLst>
                    </xdr:cNvPr>
                    <xdr:cNvCxnSpPr/>
                  </xdr:nvCxnSpPr>
                  <xdr:spPr>
                    <a:xfrm rot="10800000" flipV="1">
                      <a:off x="2590800" y="5323788"/>
                      <a:ext cx="4091723" cy="619809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114" name="Straight Connector 113">
                      <a:extLst>
                        <a:ext uri="{FF2B5EF4-FFF2-40B4-BE49-F238E27FC236}">
                          <a16:creationId xmlns:a16="http://schemas.microsoft.com/office/drawing/2014/main" id="{A47FF73E-E1CA-9713-F1E5-B63333E9A177}"/>
                        </a:ext>
                      </a:extLst>
                    </xdr:cNvPr>
                    <xdr:cNvCxnSpPr/>
                  </xdr:nvCxnSpPr>
                  <xdr:spPr>
                    <a:xfrm rot="10800000" flipH="1">
                      <a:off x="2590798" y="3124200"/>
                      <a:ext cx="457201" cy="2819400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</xdr:grpSp>
              <xdr:sp macro="" textlink="">
                <xdr:nvSpPr>
                  <xdr:cNvPr id="109" name="Isosceles Triangle 108">
                    <a:extLst>
                      <a:ext uri="{FF2B5EF4-FFF2-40B4-BE49-F238E27FC236}">
                        <a16:creationId xmlns:a16="http://schemas.microsoft.com/office/drawing/2014/main" id="{4A16F937-AE58-12F6-CD61-74D37A009B15}"/>
                      </a:ext>
                    </a:extLst>
                  </xdr:cNvPr>
                  <xdr:cNvSpPr/>
                </xdr:nvSpPr>
                <xdr:spPr>
                  <a:xfrm rot="10106290">
                    <a:off x="4014281" y="2629960"/>
                    <a:ext cx="341500" cy="988535"/>
                  </a:xfrm>
                  <a:prstGeom prst="triangle">
                    <a:avLst>
                      <a:gd name="adj" fmla="val 93244"/>
                    </a:avLst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  <xdr:sp macro="" textlink="">
                <xdr:nvSpPr>
                  <xdr:cNvPr id="110" name="Isosceles Triangle 109">
                    <a:extLst>
                      <a:ext uri="{FF2B5EF4-FFF2-40B4-BE49-F238E27FC236}">
                        <a16:creationId xmlns:a16="http://schemas.microsoft.com/office/drawing/2014/main" id="{EAE5B535-1049-CE45-0CCF-F2115323AD37}"/>
                      </a:ext>
                    </a:extLst>
                  </xdr:cNvPr>
                  <xdr:cNvSpPr/>
                </xdr:nvSpPr>
                <xdr:spPr>
                  <a:xfrm rot="4345476">
                    <a:off x="3367047" y="3108985"/>
                    <a:ext cx="181068" cy="1426521"/>
                  </a:xfrm>
                  <a:prstGeom prst="triangle">
                    <a:avLst>
                      <a:gd name="adj" fmla="val 63429"/>
                    </a:avLst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</xdr:grpSp>
            <xdr:cxnSp macro="">
              <xdr:nvCxnSpPr>
                <xdr:cNvPr id="104" name="Straight Arrow Connector 103">
                  <a:extLst>
                    <a:ext uri="{FF2B5EF4-FFF2-40B4-BE49-F238E27FC236}">
                      <a16:creationId xmlns:a16="http://schemas.microsoft.com/office/drawing/2014/main" id="{924ED9FB-2136-038D-1A04-7EBCABE6CC95}"/>
                    </a:ext>
                  </a:extLst>
                </xdr:cNvPr>
                <xdr:cNvCxnSpPr>
                  <a:stCxn id="86" idx="3"/>
                </xdr:cNvCxnSpPr>
              </xdr:nvCxnSpPr>
              <xdr:spPr>
                <a:xfrm flipV="1">
                  <a:off x="2803779" y="2601187"/>
                  <a:ext cx="1444844" cy="1568465"/>
                </a:xfrm>
                <a:prstGeom prst="straightConnector1">
                  <a:avLst/>
                </a:prstGeom>
                <a:ln>
                  <a:solidFill>
                    <a:schemeClr val="bg1"/>
                  </a:solidFill>
                  <a:headEnd type="triangle"/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05" name="Straight Arrow Connector 104">
                  <a:extLst>
                    <a:ext uri="{FF2B5EF4-FFF2-40B4-BE49-F238E27FC236}">
                      <a16:creationId xmlns:a16="http://schemas.microsoft.com/office/drawing/2014/main" id="{ED5836B8-0F9C-C6FB-FAFD-E287B1377C72}"/>
                    </a:ext>
                  </a:extLst>
                </xdr:cNvPr>
                <xdr:cNvCxnSpPr>
                  <a:endCxn id="107" idx="2"/>
                </xdr:cNvCxnSpPr>
              </xdr:nvCxnSpPr>
              <xdr:spPr>
                <a:xfrm>
                  <a:off x="2562225" y="2978944"/>
                  <a:ext cx="1491745" cy="1414972"/>
                </a:xfrm>
                <a:prstGeom prst="straightConnector1">
                  <a:avLst/>
                </a:prstGeom>
                <a:ln>
                  <a:solidFill>
                    <a:schemeClr val="bg1"/>
                  </a:solidFill>
                  <a:headEnd type="triangle"/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99" name="TextBox 20">
                <a:extLst>
                  <a:ext uri="{FF2B5EF4-FFF2-40B4-BE49-F238E27FC236}">
                    <a16:creationId xmlns:a16="http://schemas.microsoft.com/office/drawing/2014/main" id="{C62813A3-DE46-4E29-212B-B09635F3E178}"/>
                  </a:ext>
                </a:extLst>
              </xdr:cNvPr>
              <xdr:cNvSpPr txBox="1"/>
            </xdr:nvSpPr>
            <xdr:spPr>
              <a:xfrm>
                <a:off x="2651585" y="2684090"/>
                <a:ext cx="349063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900" b="1">
                    <a:solidFill>
                      <a:schemeClr val="bg1"/>
                    </a:solidFill>
                  </a:rPr>
                  <a:t>D2</a:t>
                </a:r>
              </a:p>
            </xdr:txBody>
          </xdr:sp>
          <xdr:sp macro="" textlink="">
            <xdr:nvSpPr>
              <xdr:cNvPr id="100" name="TextBox 55">
                <a:extLst>
                  <a:ext uri="{FF2B5EF4-FFF2-40B4-BE49-F238E27FC236}">
                    <a16:creationId xmlns:a16="http://schemas.microsoft.com/office/drawing/2014/main" id="{DF6429AC-EDC4-C9AC-274F-03FD47AC23CE}"/>
                  </a:ext>
                </a:extLst>
              </xdr:cNvPr>
              <xdr:cNvSpPr txBox="1"/>
            </xdr:nvSpPr>
            <xdr:spPr>
              <a:xfrm>
                <a:off x="3934043" y="2456916"/>
                <a:ext cx="349063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900" b="1">
                    <a:solidFill>
                      <a:schemeClr val="bg1"/>
                    </a:solidFill>
                  </a:rPr>
                  <a:t>D1</a:t>
                </a:r>
              </a:p>
            </xdr:txBody>
          </xdr:sp>
          <xdr:sp macro="" textlink="">
            <xdr:nvSpPr>
              <xdr:cNvPr id="101" name="TextBox 56">
                <a:extLst>
                  <a:ext uri="{FF2B5EF4-FFF2-40B4-BE49-F238E27FC236}">
                    <a16:creationId xmlns:a16="http://schemas.microsoft.com/office/drawing/2014/main" id="{0A60FD5A-24E8-6D97-2B01-A718B6E7537C}"/>
                  </a:ext>
                </a:extLst>
              </xdr:cNvPr>
              <xdr:cNvSpPr txBox="1"/>
            </xdr:nvSpPr>
            <xdr:spPr>
              <a:xfrm>
                <a:off x="5299935" y="2634325"/>
                <a:ext cx="349063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900" b="1">
                    <a:solidFill>
                      <a:schemeClr val="bg1"/>
                    </a:solidFill>
                  </a:rPr>
                  <a:t>D2</a:t>
                </a:r>
              </a:p>
            </xdr:txBody>
          </xdr:sp>
          <xdr:sp macro="" textlink="">
            <xdr:nvSpPr>
              <xdr:cNvPr id="102" name="TextBox 57">
                <a:extLst>
                  <a:ext uri="{FF2B5EF4-FFF2-40B4-BE49-F238E27FC236}">
                    <a16:creationId xmlns:a16="http://schemas.microsoft.com/office/drawing/2014/main" id="{5AA1C006-BA5C-C89F-D7AE-0D096DCEFBF3}"/>
                  </a:ext>
                </a:extLst>
              </xdr:cNvPr>
              <xdr:cNvSpPr txBox="1"/>
            </xdr:nvSpPr>
            <xdr:spPr>
              <a:xfrm>
                <a:off x="6926157" y="2564815"/>
                <a:ext cx="349063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900" b="1">
                    <a:solidFill>
                      <a:schemeClr val="bg1"/>
                    </a:solidFill>
                  </a:rPr>
                  <a:t>D1</a:t>
                </a:r>
              </a:p>
            </xdr:txBody>
          </xdr:sp>
        </xdr:grpSp>
        <xdr:sp macro="" textlink="">
          <xdr:nvSpPr>
            <xdr:cNvPr id="7" name="TextBox 50">
              <a:extLst>
                <a:ext uri="{FF2B5EF4-FFF2-40B4-BE49-F238E27FC236}">
                  <a16:creationId xmlns:a16="http://schemas.microsoft.com/office/drawing/2014/main" id="{9CEE145B-6B83-F623-26FA-B796E6A1FE96}"/>
                </a:ext>
              </a:extLst>
            </xdr:cNvPr>
            <xdr:cNvSpPr txBox="1"/>
          </xdr:nvSpPr>
          <xdr:spPr>
            <a:xfrm>
              <a:off x="8971013" y="7756966"/>
              <a:ext cx="350876" cy="191572"/>
            </a:xfrm>
            <a:prstGeom prst="rect">
              <a:avLst/>
            </a:prstGeom>
            <a:noFill/>
          </xdr:spPr>
          <xdr:txBody>
            <a:bodyPr wrap="square" lIns="0" tIns="0" rIns="0" bIns="0" rtlCol="0" anchor="ctr" anchorCtr="1"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/>
                <a:t>y</a:t>
              </a:r>
              <a:r>
                <a:rPr lang="en-GB" sz="1100" b="1" baseline="-25000"/>
                <a:t>ce</a:t>
              </a:r>
            </a:p>
          </xdr:txBody>
        </xdr:sp>
        <xdr:sp macro="" textlink="">
          <xdr:nvSpPr>
            <xdr:cNvPr id="8" name="TextBox 51">
              <a:extLst>
                <a:ext uri="{FF2B5EF4-FFF2-40B4-BE49-F238E27FC236}">
                  <a16:creationId xmlns:a16="http://schemas.microsoft.com/office/drawing/2014/main" id="{E8BC5706-F081-59FF-42C6-5EC04EDB0942}"/>
                </a:ext>
              </a:extLst>
            </xdr:cNvPr>
            <xdr:cNvSpPr txBox="1"/>
          </xdr:nvSpPr>
          <xdr:spPr>
            <a:xfrm>
              <a:off x="8758676" y="7981896"/>
              <a:ext cx="324980" cy="159232"/>
            </a:xfrm>
            <a:prstGeom prst="rect">
              <a:avLst/>
            </a:prstGeom>
            <a:noFill/>
          </xdr:spPr>
          <xdr:txBody>
            <a:bodyPr wrap="square" lIns="0" tIns="0" rIns="0" bIns="0" rtlCol="0" anchor="ctr" anchorCtr="1"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/>
                <a:t>x</a:t>
              </a:r>
              <a:r>
                <a:rPr lang="en-GB" sz="1100" b="1" baseline="-25000"/>
                <a:t>ce</a:t>
              </a:r>
            </a:p>
          </xdr:txBody>
        </xdr:sp>
        <xdr:cxnSp macro="">
          <xdr:nvCxnSpPr>
            <xdr:cNvPr id="9" name="Straight Arrow Connector 8">
              <a:extLst>
                <a:ext uri="{FF2B5EF4-FFF2-40B4-BE49-F238E27FC236}">
                  <a16:creationId xmlns:a16="http://schemas.microsoft.com/office/drawing/2014/main" id="{C3990CEF-0063-5BA3-A0FB-98F8A2CB277A}"/>
                </a:ext>
              </a:extLst>
            </xdr:cNvPr>
            <xdr:cNvCxnSpPr/>
          </xdr:nvCxnSpPr>
          <xdr:spPr>
            <a:xfrm>
              <a:off x="9032319" y="7750216"/>
              <a:ext cx="4346" cy="244612"/>
            </a:xfrm>
            <a:prstGeom prst="straightConnector1">
              <a:avLst/>
            </a:prstGeom>
            <a:ln>
              <a:solidFill>
                <a:schemeClr val="tx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" name="Straight Arrow Connector 26">
              <a:extLst>
                <a:ext uri="{FF2B5EF4-FFF2-40B4-BE49-F238E27FC236}">
                  <a16:creationId xmlns:a16="http://schemas.microsoft.com/office/drawing/2014/main" id="{2CCE73DF-7F9B-D7FF-FBBB-F7539219EDB0}"/>
                </a:ext>
              </a:extLst>
            </xdr:cNvPr>
            <xdr:cNvCxnSpPr/>
          </xdr:nvCxnSpPr>
          <xdr:spPr>
            <a:xfrm flipH="1">
              <a:off x="8774973" y="7990228"/>
              <a:ext cx="262220" cy="0"/>
            </a:xfrm>
            <a:prstGeom prst="straightConnector1">
              <a:avLst/>
            </a:prstGeom>
            <a:ln>
              <a:solidFill>
                <a:schemeClr val="tx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3" name="TextBox 50">
              <a:extLst>
                <a:ext uri="{FF2B5EF4-FFF2-40B4-BE49-F238E27FC236}">
                  <a16:creationId xmlns:a16="http://schemas.microsoft.com/office/drawing/2014/main" id="{6911F648-09A3-DA02-A98D-F33609483B61}"/>
                </a:ext>
              </a:extLst>
            </xdr:cNvPr>
            <xdr:cNvSpPr txBox="1"/>
          </xdr:nvSpPr>
          <xdr:spPr>
            <a:xfrm>
              <a:off x="8751819" y="7544212"/>
              <a:ext cx="351745" cy="191572"/>
            </a:xfrm>
            <a:prstGeom prst="rect">
              <a:avLst/>
            </a:prstGeom>
            <a:noFill/>
          </xdr:spPr>
          <xdr:txBody>
            <a:bodyPr wrap="square" rtlCol="0" anchor="ctr"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100" b="1" baseline="0">
                  <a:solidFill>
                    <a:srgbClr val="FF0000"/>
                  </a:solidFill>
                </a:rPr>
                <a:t>Oe</a:t>
              </a:r>
              <a:endParaRPr lang="en-GB" sz="1100" b="1" baseline="-25000">
                <a:solidFill>
                  <a:srgbClr val="FF0000"/>
                </a:solidFill>
              </a:endParaRPr>
            </a:p>
          </xdr:txBody>
        </xdr:sp>
        <xdr:sp macro="" textlink="">
          <xdr:nvSpPr>
            <xdr:cNvPr id="86" name="Flowchart: Connector 85">
              <a:extLst>
                <a:ext uri="{FF2B5EF4-FFF2-40B4-BE49-F238E27FC236}">
                  <a16:creationId xmlns:a16="http://schemas.microsoft.com/office/drawing/2014/main" id="{5580E2D9-5987-E625-99F8-0C29EF31C946}"/>
                </a:ext>
              </a:extLst>
            </xdr:cNvPr>
            <xdr:cNvSpPr/>
          </xdr:nvSpPr>
          <xdr:spPr>
            <a:xfrm>
              <a:off x="7719392" y="6344478"/>
              <a:ext cx="2824370" cy="2683565"/>
            </a:xfrm>
            <a:prstGeom prst="flowChartConnector">
              <a:avLst/>
            </a:prstGeom>
            <a:noFill/>
            <a:ln w="19050"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7" name="Flowchart: Connector 86">
              <a:extLst>
                <a:ext uri="{FF2B5EF4-FFF2-40B4-BE49-F238E27FC236}">
                  <a16:creationId xmlns:a16="http://schemas.microsoft.com/office/drawing/2014/main" id="{6B847507-7F74-8E49-77C8-8120A1BDEC43}"/>
                </a:ext>
              </a:extLst>
            </xdr:cNvPr>
            <xdr:cNvSpPr/>
          </xdr:nvSpPr>
          <xdr:spPr>
            <a:xfrm>
              <a:off x="5160065" y="6485283"/>
              <a:ext cx="2468218" cy="2385391"/>
            </a:xfrm>
            <a:prstGeom prst="flowChartConnector">
              <a:avLst/>
            </a:prstGeom>
            <a:noFill/>
            <a:ln w="19050"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8" name="TextBox 50">
              <a:extLst>
                <a:ext uri="{FF2B5EF4-FFF2-40B4-BE49-F238E27FC236}">
                  <a16:creationId xmlns:a16="http://schemas.microsoft.com/office/drawing/2014/main" id="{13325D69-90FF-68A4-3090-4420E8A50D09}"/>
                </a:ext>
              </a:extLst>
            </xdr:cNvPr>
            <xdr:cNvSpPr txBox="1"/>
          </xdr:nvSpPr>
          <xdr:spPr>
            <a:xfrm>
              <a:off x="8864728" y="7646140"/>
              <a:ext cx="351745" cy="191572"/>
            </a:xfrm>
            <a:prstGeom prst="rect">
              <a:avLst/>
            </a:prstGeom>
            <a:noFill/>
          </xdr:spPr>
          <xdr:txBody>
            <a:bodyPr wrap="square" rtlCol="0" anchor="ctr"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100" b="1">
                  <a:solidFill>
                    <a:srgbClr val="FF0000"/>
                  </a:solidFill>
                </a:rPr>
                <a:t>+</a:t>
              </a:r>
              <a:endParaRPr lang="en-GB" sz="1100" b="1" baseline="-25000">
                <a:solidFill>
                  <a:srgbClr val="FF0000"/>
                </a:solidFill>
              </a:endParaRPr>
            </a:p>
          </xdr:txBody>
        </xdr:sp>
        <xdr:sp macro="" textlink="">
          <xdr:nvSpPr>
            <xdr:cNvPr id="89" name="TextBox 50">
              <a:extLst>
                <a:ext uri="{FF2B5EF4-FFF2-40B4-BE49-F238E27FC236}">
                  <a16:creationId xmlns:a16="http://schemas.microsoft.com/office/drawing/2014/main" id="{8CEA1505-0368-E68E-F0EC-E723F35ADEE6}"/>
                </a:ext>
              </a:extLst>
            </xdr:cNvPr>
            <xdr:cNvSpPr txBox="1"/>
          </xdr:nvSpPr>
          <xdr:spPr>
            <a:xfrm>
              <a:off x="6104698" y="7530960"/>
              <a:ext cx="351745" cy="191572"/>
            </a:xfrm>
            <a:prstGeom prst="rect">
              <a:avLst/>
            </a:prstGeom>
            <a:noFill/>
          </xdr:spPr>
          <xdr:txBody>
            <a:bodyPr wrap="square" rtlCol="0" anchor="ctr"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100" b="1" baseline="0">
                  <a:solidFill>
                    <a:srgbClr val="FF0000"/>
                  </a:solidFill>
                </a:rPr>
                <a:t>Or</a:t>
              </a:r>
              <a:endParaRPr lang="en-GB" sz="1100" b="1" baseline="-25000">
                <a:solidFill>
                  <a:srgbClr val="FF0000"/>
                </a:solidFill>
              </a:endParaRPr>
            </a:p>
          </xdr:txBody>
        </xdr:sp>
        <xdr:sp macro="" textlink="">
          <xdr:nvSpPr>
            <xdr:cNvPr id="90" name="TextBox 50">
              <a:extLst>
                <a:ext uri="{FF2B5EF4-FFF2-40B4-BE49-F238E27FC236}">
                  <a16:creationId xmlns:a16="http://schemas.microsoft.com/office/drawing/2014/main" id="{FEEFC0CB-616A-CA35-9746-9ABD795B9521}"/>
                </a:ext>
              </a:extLst>
            </xdr:cNvPr>
            <xdr:cNvSpPr txBox="1"/>
          </xdr:nvSpPr>
          <xdr:spPr>
            <a:xfrm>
              <a:off x="6184476" y="7616323"/>
              <a:ext cx="351745" cy="191572"/>
            </a:xfrm>
            <a:prstGeom prst="rect">
              <a:avLst/>
            </a:prstGeom>
            <a:noFill/>
          </xdr:spPr>
          <xdr:txBody>
            <a:bodyPr wrap="square" rtlCol="0" anchor="ctr"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100" b="1">
                  <a:solidFill>
                    <a:srgbClr val="FF0000"/>
                  </a:solidFill>
                </a:rPr>
                <a:t>+</a:t>
              </a:r>
              <a:endParaRPr lang="en-GB" sz="1100" b="1" baseline="-25000">
                <a:solidFill>
                  <a:srgbClr val="FF0000"/>
                </a:solidFill>
              </a:endParaRPr>
            </a:p>
          </xdr:txBody>
        </xdr:sp>
      </xdr:grpSp>
      <xdr:sp macro="" textlink="">
        <xdr:nvSpPr>
          <xdr:cNvPr id="5" name="Rounded Rectangle 291">
            <a:extLst>
              <a:ext uri="{FF2B5EF4-FFF2-40B4-BE49-F238E27FC236}">
                <a16:creationId xmlns:a16="http://schemas.microsoft.com/office/drawing/2014/main" id="{221C167E-E289-B541-1ADB-86A32E0A358C}"/>
              </a:ext>
            </a:extLst>
          </xdr:cNvPr>
          <xdr:cNvSpPr/>
        </xdr:nvSpPr>
        <xdr:spPr>
          <a:xfrm>
            <a:off x="1159566" y="10908197"/>
            <a:ext cx="5408544" cy="2691848"/>
          </a:xfrm>
          <a:prstGeom prst="roundRect">
            <a:avLst>
              <a:gd name="adj" fmla="val 50000"/>
            </a:avLst>
          </a:prstGeom>
          <a:solidFill>
            <a:schemeClr val="accent1">
              <a:alpha val="2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3</xdr:col>
      <xdr:colOff>732693</xdr:colOff>
      <xdr:row>60</xdr:row>
      <xdr:rowOff>109904</xdr:rowOff>
    </xdr:from>
    <xdr:to>
      <xdr:col>8</xdr:col>
      <xdr:colOff>381000</xdr:colOff>
      <xdr:row>69</xdr:row>
      <xdr:rowOff>58615</xdr:rowOff>
    </xdr:to>
    <xdr:grpSp>
      <xdr:nvGrpSpPr>
        <xdr:cNvPr id="127" name="Group 126">
          <a:extLst>
            <a:ext uri="{FF2B5EF4-FFF2-40B4-BE49-F238E27FC236}">
              <a16:creationId xmlns:a16="http://schemas.microsoft.com/office/drawing/2014/main" id="{B1BD30AF-D991-4B39-B986-65D5C5097A20}"/>
            </a:ext>
          </a:extLst>
        </xdr:cNvPr>
        <xdr:cNvGrpSpPr/>
      </xdr:nvGrpSpPr>
      <xdr:grpSpPr>
        <a:xfrm>
          <a:off x="2525634" y="13814698"/>
          <a:ext cx="3906542" cy="1663211"/>
          <a:chOff x="538369" y="15263892"/>
          <a:chExt cx="5836211" cy="2635939"/>
        </a:xfrm>
      </xdr:grpSpPr>
      <xdr:grpSp>
        <xdr:nvGrpSpPr>
          <xdr:cNvPr id="128" name="Group 127">
            <a:extLst>
              <a:ext uri="{FF2B5EF4-FFF2-40B4-BE49-F238E27FC236}">
                <a16:creationId xmlns:a16="http://schemas.microsoft.com/office/drawing/2014/main" id="{D973FC28-FB42-CA86-C72F-C9D574AFE5BF}"/>
              </a:ext>
            </a:extLst>
          </xdr:cNvPr>
          <xdr:cNvGrpSpPr/>
        </xdr:nvGrpSpPr>
        <xdr:grpSpPr>
          <a:xfrm>
            <a:off x="538369" y="15263892"/>
            <a:ext cx="5836211" cy="2635939"/>
            <a:chOff x="4391855" y="6551543"/>
            <a:chExt cx="5837167" cy="2635939"/>
          </a:xfrm>
        </xdr:grpSpPr>
        <xdr:grpSp>
          <xdr:nvGrpSpPr>
            <xdr:cNvPr id="133" name="Group 132">
              <a:extLst>
                <a:ext uri="{FF2B5EF4-FFF2-40B4-BE49-F238E27FC236}">
                  <a16:creationId xmlns:a16="http://schemas.microsoft.com/office/drawing/2014/main" id="{24D61035-A8F9-8596-DD4F-89DEFD0F74B2}"/>
                </a:ext>
              </a:extLst>
            </xdr:cNvPr>
            <xdr:cNvGrpSpPr/>
          </xdr:nvGrpSpPr>
          <xdr:grpSpPr>
            <a:xfrm>
              <a:off x="4391855" y="6551543"/>
              <a:ext cx="5837167" cy="2635939"/>
              <a:chOff x="1676400" y="1905000"/>
              <a:chExt cx="5943600" cy="2971800"/>
            </a:xfrm>
          </xdr:grpSpPr>
          <xdr:sp macro="" textlink="">
            <xdr:nvSpPr>
              <xdr:cNvPr id="148" name="Flowchart: Alternate Process 147">
                <a:extLst>
                  <a:ext uri="{FF2B5EF4-FFF2-40B4-BE49-F238E27FC236}">
                    <a16:creationId xmlns:a16="http://schemas.microsoft.com/office/drawing/2014/main" id="{79E1C1E3-BDA3-6FB7-52E5-80CECF7FB6D9}"/>
                  </a:ext>
                </a:extLst>
              </xdr:cNvPr>
              <xdr:cNvSpPr/>
            </xdr:nvSpPr>
            <xdr:spPr>
              <a:xfrm>
                <a:off x="1676400" y="1905000"/>
                <a:ext cx="5943600" cy="2971800"/>
              </a:xfrm>
              <a:prstGeom prst="flowChartAlternateProcess">
                <a:avLst/>
              </a:prstGeom>
              <a:solidFill>
                <a:schemeClr val="bg1">
                  <a:lumMod val="6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pic>
            <xdr:nvPicPr>
              <xdr:cNvPr id="149" name="Picture 148">
                <a:extLst>
                  <a:ext uri="{FF2B5EF4-FFF2-40B4-BE49-F238E27FC236}">
                    <a16:creationId xmlns:a16="http://schemas.microsoft.com/office/drawing/2014/main" id="{649882D4-03FC-D8A4-B376-45E6D8BDF68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/>
              <a:stretch>
                <a:fillRect/>
              </a:stretch>
            </xdr:blipFill>
            <xdr:spPr>
              <a:xfrm>
                <a:off x="2290762" y="2314575"/>
                <a:ext cx="4562475" cy="2228850"/>
              </a:xfrm>
              <a:prstGeom prst="rect">
                <a:avLst/>
              </a:prstGeom>
            </xdr:spPr>
          </xdr:pic>
          <xdr:sp macro="" textlink="">
            <xdr:nvSpPr>
              <xdr:cNvPr id="150" name="Rectangle 149">
                <a:extLst>
                  <a:ext uri="{FF2B5EF4-FFF2-40B4-BE49-F238E27FC236}">
                    <a16:creationId xmlns:a16="http://schemas.microsoft.com/office/drawing/2014/main" id="{88D2C624-460B-BBC7-FBFE-B90AD4700343}"/>
                  </a:ext>
                </a:extLst>
              </xdr:cNvPr>
              <xdr:cNvSpPr/>
            </xdr:nvSpPr>
            <xdr:spPr>
              <a:xfrm>
                <a:off x="2197345" y="2278380"/>
                <a:ext cx="187715" cy="2438400"/>
              </a:xfrm>
              <a:prstGeom prst="rect">
                <a:avLst/>
              </a:prstGeom>
              <a:solidFill>
                <a:schemeClr val="bg1">
                  <a:lumMod val="6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sp macro="" textlink="">
            <xdr:nvSpPr>
              <xdr:cNvPr id="151" name="Rectangle 150">
                <a:extLst>
                  <a:ext uri="{FF2B5EF4-FFF2-40B4-BE49-F238E27FC236}">
                    <a16:creationId xmlns:a16="http://schemas.microsoft.com/office/drawing/2014/main" id="{F29B2EA5-934C-79DC-9D98-94EF0AB1DBA5}"/>
                  </a:ext>
                </a:extLst>
              </xdr:cNvPr>
              <xdr:cNvSpPr/>
            </xdr:nvSpPr>
            <xdr:spPr>
              <a:xfrm>
                <a:off x="6797920" y="2118410"/>
                <a:ext cx="76200" cy="2438400"/>
              </a:xfrm>
              <a:prstGeom prst="rect">
                <a:avLst/>
              </a:prstGeom>
              <a:solidFill>
                <a:schemeClr val="bg1">
                  <a:lumMod val="6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sp macro="" textlink="">
            <xdr:nvSpPr>
              <xdr:cNvPr id="152" name="Rectangle 151">
                <a:extLst>
                  <a:ext uri="{FF2B5EF4-FFF2-40B4-BE49-F238E27FC236}">
                    <a16:creationId xmlns:a16="http://schemas.microsoft.com/office/drawing/2014/main" id="{1722AA64-F404-CC38-201C-295FCC1259B9}"/>
                  </a:ext>
                </a:extLst>
              </xdr:cNvPr>
              <xdr:cNvSpPr/>
            </xdr:nvSpPr>
            <xdr:spPr>
              <a:xfrm>
                <a:off x="2286000" y="2293620"/>
                <a:ext cx="4655820" cy="91440"/>
              </a:xfrm>
              <a:prstGeom prst="rect">
                <a:avLst/>
              </a:prstGeom>
              <a:solidFill>
                <a:schemeClr val="bg1">
                  <a:lumMod val="6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sp macro="" textlink="">
            <xdr:nvSpPr>
              <xdr:cNvPr id="153" name="Rectangle 152">
                <a:extLst>
                  <a:ext uri="{FF2B5EF4-FFF2-40B4-BE49-F238E27FC236}">
                    <a16:creationId xmlns:a16="http://schemas.microsoft.com/office/drawing/2014/main" id="{D714FDAB-1EA5-7CE4-065E-B2B9808D3ADC}"/>
                  </a:ext>
                </a:extLst>
              </xdr:cNvPr>
              <xdr:cNvSpPr/>
            </xdr:nvSpPr>
            <xdr:spPr>
              <a:xfrm>
                <a:off x="2254328" y="4479658"/>
                <a:ext cx="4655820" cy="91440"/>
              </a:xfrm>
              <a:prstGeom prst="rect">
                <a:avLst/>
              </a:prstGeom>
              <a:solidFill>
                <a:schemeClr val="bg1">
                  <a:lumMod val="6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grpSp>
            <xdr:nvGrpSpPr>
              <xdr:cNvPr id="154" name="Group 153">
                <a:extLst>
                  <a:ext uri="{FF2B5EF4-FFF2-40B4-BE49-F238E27FC236}">
                    <a16:creationId xmlns:a16="http://schemas.microsoft.com/office/drawing/2014/main" id="{99F9CA9A-2F6D-DAF6-0F78-7CD2ADDE620A}"/>
                  </a:ext>
                </a:extLst>
              </xdr:cNvPr>
              <xdr:cNvGrpSpPr/>
            </xdr:nvGrpSpPr>
            <xdr:grpSpPr>
              <a:xfrm>
                <a:off x="2536996" y="2254670"/>
                <a:ext cx="2142359" cy="2093440"/>
                <a:chOff x="2562225" y="2598419"/>
                <a:chExt cx="1793556" cy="1752602"/>
              </a:xfrm>
            </xdr:grpSpPr>
            <xdr:grpSp>
              <xdr:nvGrpSpPr>
                <xdr:cNvPr id="172" name="Group 171">
                  <a:extLst>
                    <a:ext uri="{FF2B5EF4-FFF2-40B4-BE49-F238E27FC236}">
                      <a16:creationId xmlns:a16="http://schemas.microsoft.com/office/drawing/2014/main" id="{DDE33BEA-4636-131A-3179-512199923C4F}"/>
                    </a:ext>
                  </a:extLst>
                </xdr:cNvPr>
                <xdr:cNvGrpSpPr/>
              </xdr:nvGrpSpPr>
              <xdr:grpSpPr>
                <a:xfrm>
                  <a:off x="2562226" y="2598419"/>
                  <a:ext cx="1793555" cy="1752602"/>
                  <a:chOff x="2562226" y="2598419"/>
                  <a:chExt cx="1793555" cy="1752602"/>
                </a:xfrm>
              </xdr:grpSpPr>
              <xdr:grpSp>
                <xdr:nvGrpSpPr>
                  <xdr:cNvPr id="175" name="Group 174">
                    <a:extLst>
                      <a:ext uri="{FF2B5EF4-FFF2-40B4-BE49-F238E27FC236}">
                        <a16:creationId xmlns:a16="http://schemas.microsoft.com/office/drawing/2014/main" id="{753CB3F6-A84C-2978-5C5E-42303344C86E}"/>
                      </a:ext>
                    </a:extLst>
                  </xdr:cNvPr>
                  <xdr:cNvGrpSpPr/>
                </xdr:nvGrpSpPr>
                <xdr:grpSpPr>
                  <a:xfrm rot="10800000">
                    <a:off x="2562226" y="2598419"/>
                    <a:ext cx="1689733" cy="1752602"/>
                    <a:chOff x="2590798" y="3124199"/>
                    <a:chExt cx="4091725" cy="2819401"/>
                  </a:xfrm>
                </xdr:grpSpPr>
                <xdr:cxnSp macro="">
                  <xdr:nvCxnSpPr>
                    <xdr:cNvPr id="180" name="Straight Connector 179">
                      <a:extLst>
                        <a:ext uri="{FF2B5EF4-FFF2-40B4-BE49-F238E27FC236}">
                          <a16:creationId xmlns:a16="http://schemas.microsoft.com/office/drawing/2014/main" id="{0A035113-392D-C8CA-DB0A-7DD4B5B7BCC4}"/>
                        </a:ext>
                      </a:extLst>
                    </xdr:cNvPr>
                    <xdr:cNvCxnSpPr/>
                  </xdr:nvCxnSpPr>
                  <xdr:spPr>
                    <a:xfrm rot="10800000" flipH="1" flipV="1">
                      <a:off x="3047999" y="3124199"/>
                      <a:ext cx="2971800" cy="381000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181" name="Straight Connector 180">
                      <a:extLst>
                        <a:ext uri="{FF2B5EF4-FFF2-40B4-BE49-F238E27FC236}">
                          <a16:creationId xmlns:a16="http://schemas.microsoft.com/office/drawing/2014/main" id="{D2B395D6-1189-93AF-3664-692D35F09114}"/>
                        </a:ext>
                      </a:extLst>
                    </xdr:cNvPr>
                    <xdr:cNvCxnSpPr/>
                  </xdr:nvCxnSpPr>
                  <xdr:spPr>
                    <a:xfrm rot="10800000" flipH="1" flipV="1">
                      <a:off x="6019797" y="3505196"/>
                      <a:ext cx="656960" cy="1826253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182" name="Straight Connector 181">
                      <a:extLst>
                        <a:ext uri="{FF2B5EF4-FFF2-40B4-BE49-F238E27FC236}">
                          <a16:creationId xmlns:a16="http://schemas.microsoft.com/office/drawing/2014/main" id="{4C632822-5715-5BB1-200D-42861FC71826}"/>
                        </a:ext>
                      </a:extLst>
                    </xdr:cNvPr>
                    <xdr:cNvCxnSpPr/>
                  </xdr:nvCxnSpPr>
                  <xdr:spPr>
                    <a:xfrm rot="10800000" flipV="1">
                      <a:off x="2590800" y="5323789"/>
                      <a:ext cx="4091723" cy="619809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183" name="Straight Connector 182">
                      <a:extLst>
                        <a:ext uri="{FF2B5EF4-FFF2-40B4-BE49-F238E27FC236}">
                          <a16:creationId xmlns:a16="http://schemas.microsoft.com/office/drawing/2014/main" id="{AD9DAFC2-6D1D-E923-1641-3D1B088CAE0E}"/>
                        </a:ext>
                      </a:extLst>
                    </xdr:cNvPr>
                    <xdr:cNvCxnSpPr/>
                  </xdr:nvCxnSpPr>
                  <xdr:spPr>
                    <a:xfrm rot="10800000" flipH="1">
                      <a:off x="2590798" y="3124200"/>
                      <a:ext cx="457199" cy="2819400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</xdr:grpSp>
              <xdr:sp macro="" textlink="">
                <xdr:nvSpPr>
                  <xdr:cNvPr id="176" name="Rectangle 175">
                    <a:extLst>
                      <a:ext uri="{FF2B5EF4-FFF2-40B4-BE49-F238E27FC236}">
                        <a16:creationId xmlns:a16="http://schemas.microsoft.com/office/drawing/2014/main" id="{AF1FED7D-200A-AC8F-4A7B-BA81816E386A}"/>
                      </a:ext>
                    </a:extLst>
                  </xdr:cNvPr>
                  <xdr:cNvSpPr/>
                </xdr:nvSpPr>
                <xdr:spPr>
                  <a:xfrm rot="4634191">
                    <a:off x="2861243" y="2614970"/>
                    <a:ext cx="981834" cy="1384746"/>
                  </a:xfrm>
                  <a:prstGeom prst="rect">
                    <a:avLst/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  <xdr:sp macro="" textlink="">
                <xdr:nvSpPr>
                  <xdr:cNvPr id="177" name="Isosceles Triangle 176">
                    <a:extLst>
                      <a:ext uri="{FF2B5EF4-FFF2-40B4-BE49-F238E27FC236}">
                        <a16:creationId xmlns:a16="http://schemas.microsoft.com/office/drawing/2014/main" id="{7488C297-006B-0825-8727-4E0079C46F4E}"/>
                      </a:ext>
                    </a:extLst>
                  </xdr:cNvPr>
                  <xdr:cNvSpPr/>
                </xdr:nvSpPr>
                <xdr:spPr>
                  <a:xfrm rot="10106290">
                    <a:off x="4014281" y="2629960"/>
                    <a:ext cx="341500" cy="988535"/>
                  </a:xfrm>
                  <a:prstGeom prst="triangle">
                    <a:avLst>
                      <a:gd name="adj" fmla="val 94287"/>
                    </a:avLst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  <xdr:sp macro="" textlink="">
                <xdr:nvSpPr>
                  <xdr:cNvPr id="178" name="Isosceles Triangle 177">
                    <a:extLst>
                      <a:ext uri="{FF2B5EF4-FFF2-40B4-BE49-F238E27FC236}">
                        <a16:creationId xmlns:a16="http://schemas.microsoft.com/office/drawing/2014/main" id="{07E64535-1D5D-1184-02DF-6D7BF1C12666}"/>
                      </a:ext>
                    </a:extLst>
                  </xdr:cNvPr>
                  <xdr:cNvSpPr/>
                </xdr:nvSpPr>
                <xdr:spPr>
                  <a:xfrm rot="16608172">
                    <a:off x="3123051" y="3290692"/>
                    <a:ext cx="717795" cy="1247153"/>
                  </a:xfrm>
                  <a:prstGeom prst="triangle">
                    <a:avLst>
                      <a:gd name="adj" fmla="val 11150"/>
                    </a:avLst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  <xdr:sp macro="" textlink="">
                <xdr:nvSpPr>
                  <xdr:cNvPr id="179" name="Isosceles Triangle 178">
                    <a:extLst>
                      <a:ext uri="{FF2B5EF4-FFF2-40B4-BE49-F238E27FC236}">
                        <a16:creationId xmlns:a16="http://schemas.microsoft.com/office/drawing/2014/main" id="{AC3733F5-6A97-7181-2E2F-F59F6760EE82}"/>
                      </a:ext>
                    </a:extLst>
                  </xdr:cNvPr>
                  <xdr:cNvSpPr/>
                </xdr:nvSpPr>
                <xdr:spPr>
                  <a:xfrm rot="4345476">
                    <a:off x="3386313" y="3124511"/>
                    <a:ext cx="183805" cy="1384022"/>
                  </a:xfrm>
                  <a:prstGeom prst="triangle">
                    <a:avLst>
                      <a:gd name="adj" fmla="val 63429"/>
                    </a:avLst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</xdr:grpSp>
            <xdr:cxnSp macro="">
              <xdr:nvCxnSpPr>
                <xdr:cNvPr id="173" name="Straight Arrow Connector 172">
                  <a:extLst>
                    <a:ext uri="{FF2B5EF4-FFF2-40B4-BE49-F238E27FC236}">
                      <a16:creationId xmlns:a16="http://schemas.microsoft.com/office/drawing/2014/main" id="{6C764B79-BFEC-CD6C-2571-35369D45F39C}"/>
                    </a:ext>
                  </a:extLst>
                </xdr:cNvPr>
                <xdr:cNvCxnSpPr>
                  <a:stCxn id="179" idx="4"/>
                  <a:endCxn id="177" idx="2"/>
                </xdr:cNvCxnSpPr>
              </xdr:nvCxnSpPr>
              <xdr:spPr>
                <a:xfrm flipV="1">
                  <a:off x="2846258" y="2605767"/>
                  <a:ext cx="1406994" cy="1507328"/>
                </a:xfrm>
                <a:prstGeom prst="straightConnector1">
                  <a:avLst/>
                </a:prstGeom>
                <a:ln>
                  <a:solidFill>
                    <a:schemeClr val="bg1"/>
                  </a:solidFill>
                  <a:headEnd type="triangle"/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74" name="Straight Arrow Connector 173">
                  <a:extLst>
                    <a:ext uri="{FF2B5EF4-FFF2-40B4-BE49-F238E27FC236}">
                      <a16:creationId xmlns:a16="http://schemas.microsoft.com/office/drawing/2014/main" id="{19D75C39-6B34-8979-4F0C-BD7BDBD8D941}"/>
                    </a:ext>
                  </a:extLst>
                </xdr:cNvPr>
                <xdr:cNvCxnSpPr>
                  <a:endCxn id="178" idx="2"/>
                </xdr:cNvCxnSpPr>
              </xdr:nvCxnSpPr>
              <xdr:spPr>
                <a:xfrm>
                  <a:off x="2562225" y="2978945"/>
                  <a:ext cx="1496397" cy="1365559"/>
                </a:xfrm>
                <a:prstGeom prst="straightConnector1">
                  <a:avLst/>
                </a:prstGeom>
                <a:ln>
                  <a:solidFill>
                    <a:schemeClr val="bg1"/>
                  </a:solidFill>
                  <a:headEnd type="triangle"/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155" name="Group 154">
                <a:extLst>
                  <a:ext uri="{FF2B5EF4-FFF2-40B4-BE49-F238E27FC236}">
                    <a16:creationId xmlns:a16="http://schemas.microsoft.com/office/drawing/2014/main" id="{B63CA209-9B5A-4568-C27D-6AA1C7691E38}"/>
                  </a:ext>
                </a:extLst>
              </xdr:cNvPr>
              <xdr:cNvGrpSpPr/>
            </xdr:nvGrpSpPr>
            <xdr:grpSpPr>
              <a:xfrm>
                <a:off x="5154587" y="2076451"/>
                <a:ext cx="2459063" cy="2488319"/>
                <a:chOff x="2562225" y="2598420"/>
                <a:chExt cx="1793556" cy="1795496"/>
              </a:xfrm>
            </xdr:grpSpPr>
            <xdr:grpSp>
              <xdr:nvGrpSpPr>
                <xdr:cNvPr id="160" name="Group 159">
                  <a:extLst>
                    <a:ext uri="{FF2B5EF4-FFF2-40B4-BE49-F238E27FC236}">
                      <a16:creationId xmlns:a16="http://schemas.microsoft.com/office/drawing/2014/main" id="{3EC4A3FD-5BF8-D6F5-4795-38E3ACF1861D}"/>
                    </a:ext>
                  </a:extLst>
                </xdr:cNvPr>
                <xdr:cNvGrpSpPr/>
              </xdr:nvGrpSpPr>
              <xdr:grpSpPr>
                <a:xfrm>
                  <a:off x="2562226" y="2598420"/>
                  <a:ext cx="1793555" cy="1752601"/>
                  <a:chOff x="2562226" y="2598420"/>
                  <a:chExt cx="1793555" cy="1752601"/>
                </a:xfrm>
              </xdr:grpSpPr>
              <xdr:sp macro="" textlink="">
                <xdr:nvSpPr>
                  <xdr:cNvPr id="163" name="Rectangle 162">
                    <a:extLst>
                      <a:ext uri="{FF2B5EF4-FFF2-40B4-BE49-F238E27FC236}">
                        <a16:creationId xmlns:a16="http://schemas.microsoft.com/office/drawing/2014/main" id="{76F8A00A-386D-E586-8A92-8D324F5D38AB}"/>
                      </a:ext>
                    </a:extLst>
                  </xdr:cNvPr>
                  <xdr:cNvSpPr/>
                </xdr:nvSpPr>
                <xdr:spPr>
                  <a:xfrm rot="4634191">
                    <a:off x="2851186" y="2607154"/>
                    <a:ext cx="981834" cy="1405368"/>
                  </a:xfrm>
                  <a:prstGeom prst="rect">
                    <a:avLst/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  <xdr:sp macro="" textlink="">
                <xdr:nvSpPr>
                  <xdr:cNvPr id="164" name="Isosceles Triangle 163">
                    <a:extLst>
                      <a:ext uri="{FF2B5EF4-FFF2-40B4-BE49-F238E27FC236}">
                        <a16:creationId xmlns:a16="http://schemas.microsoft.com/office/drawing/2014/main" id="{27A3D3C1-A30C-B47E-E81C-04F655EEBD05}"/>
                      </a:ext>
                    </a:extLst>
                  </xdr:cNvPr>
                  <xdr:cNvSpPr/>
                </xdr:nvSpPr>
                <xdr:spPr>
                  <a:xfrm rot="16608172">
                    <a:off x="3063173" y="3275179"/>
                    <a:ext cx="786026" cy="1289647"/>
                  </a:xfrm>
                  <a:prstGeom prst="triangle">
                    <a:avLst>
                      <a:gd name="adj" fmla="val 9436"/>
                    </a:avLst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  <xdr:grpSp>
                <xdr:nvGrpSpPr>
                  <xdr:cNvPr id="165" name="Group 164">
                    <a:extLst>
                      <a:ext uri="{FF2B5EF4-FFF2-40B4-BE49-F238E27FC236}">
                        <a16:creationId xmlns:a16="http://schemas.microsoft.com/office/drawing/2014/main" id="{AC456991-F32F-F081-CD6F-78177D9029A8}"/>
                      </a:ext>
                    </a:extLst>
                  </xdr:cNvPr>
                  <xdr:cNvGrpSpPr/>
                </xdr:nvGrpSpPr>
                <xdr:grpSpPr>
                  <a:xfrm rot="10800000">
                    <a:off x="2562226" y="2598420"/>
                    <a:ext cx="1689733" cy="1752601"/>
                    <a:chOff x="2590798" y="3124200"/>
                    <a:chExt cx="4091725" cy="2819400"/>
                  </a:xfrm>
                </xdr:grpSpPr>
                <xdr:cxnSp macro="">
                  <xdr:nvCxnSpPr>
                    <xdr:cNvPr id="168" name="Straight Connector 167">
                      <a:extLst>
                        <a:ext uri="{FF2B5EF4-FFF2-40B4-BE49-F238E27FC236}">
                          <a16:creationId xmlns:a16="http://schemas.microsoft.com/office/drawing/2014/main" id="{24E8843D-65D5-8962-61D3-A5E68415B911}"/>
                        </a:ext>
                      </a:extLst>
                    </xdr:cNvPr>
                    <xdr:cNvCxnSpPr/>
                  </xdr:nvCxnSpPr>
                  <xdr:spPr>
                    <a:xfrm rot="10800000" flipH="1" flipV="1">
                      <a:off x="3132520" y="3129275"/>
                      <a:ext cx="2917069" cy="300048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169" name="Straight Connector 168">
                      <a:extLst>
                        <a:ext uri="{FF2B5EF4-FFF2-40B4-BE49-F238E27FC236}">
                          <a16:creationId xmlns:a16="http://schemas.microsoft.com/office/drawing/2014/main" id="{0F202C92-12D5-1583-4481-D3296AC0E541}"/>
                        </a:ext>
                      </a:extLst>
                    </xdr:cNvPr>
                    <xdr:cNvCxnSpPr/>
                  </xdr:nvCxnSpPr>
                  <xdr:spPr>
                    <a:xfrm rot="10800000" flipH="1" flipV="1">
                      <a:off x="6097597" y="3415964"/>
                      <a:ext cx="579157" cy="1915485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170" name="Straight Connector 169">
                      <a:extLst>
                        <a:ext uri="{FF2B5EF4-FFF2-40B4-BE49-F238E27FC236}">
                          <a16:creationId xmlns:a16="http://schemas.microsoft.com/office/drawing/2014/main" id="{F9297323-7A66-EE47-4499-BE51E7DB7893}"/>
                        </a:ext>
                      </a:extLst>
                    </xdr:cNvPr>
                    <xdr:cNvCxnSpPr/>
                  </xdr:nvCxnSpPr>
                  <xdr:spPr>
                    <a:xfrm rot="10800000" flipV="1">
                      <a:off x="2590800" y="5323788"/>
                      <a:ext cx="4091723" cy="619809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171" name="Straight Connector 170">
                      <a:extLst>
                        <a:ext uri="{FF2B5EF4-FFF2-40B4-BE49-F238E27FC236}">
                          <a16:creationId xmlns:a16="http://schemas.microsoft.com/office/drawing/2014/main" id="{293D7E2A-B028-5BF4-7DF8-E17B2A8797F0}"/>
                        </a:ext>
                      </a:extLst>
                    </xdr:cNvPr>
                    <xdr:cNvCxnSpPr/>
                  </xdr:nvCxnSpPr>
                  <xdr:spPr>
                    <a:xfrm rot="10800000" flipH="1">
                      <a:off x="2590798" y="3124200"/>
                      <a:ext cx="457201" cy="2819400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</xdr:grpSp>
              <xdr:sp macro="" textlink="">
                <xdr:nvSpPr>
                  <xdr:cNvPr id="166" name="Isosceles Triangle 165">
                    <a:extLst>
                      <a:ext uri="{FF2B5EF4-FFF2-40B4-BE49-F238E27FC236}">
                        <a16:creationId xmlns:a16="http://schemas.microsoft.com/office/drawing/2014/main" id="{059225AE-2FDE-A336-7E13-C7673FDF3142}"/>
                      </a:ext>
                    </a:extLst>
                  </xdr:cNvPr>
                  <xdr:cNvSpPr/>
                </xdr:nvSpPr>
                <xdr:spPr>
                  <a:xfrm rot="10106290">
                    <a:off x="4014281" y="2629960"/>
                    <a:ext cx="341500" cy="988535"/>
                  </a:xfrm>
                  <a:prstGeom prst="triangle">
                    <a:avLst>
                      <a:gd name="adj" fmla="val 93244"/>
                    </a:avLst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  <xdr:sp macro="" textlink="">
                <xdr:nvSpPr>
                  <xdr:cNvPr id="167" name="Isosceles Triangle 166">
                    <a:extLst>
                      <a:ext uri="{FF2B5EF4-FFF2-40B4-BE49-F238E27FC236}">
                        <a16:creationId xmlns:a16="http://schemas.microsoft.com/office/drawing/2014/main" id="{A7FCAE37-1690-C495-BB4B-93FF7EEC59E4}"/>
                      </a:ext>
                    </a:extLst>
                  </xdr:cNvPr>
                  <xdr:cNvSpPr/>
                </xdr:nvSpPr>
                <xdr:spPr>
                  <a:xfrm rot="4345476">
                    <a:off x="3367047" y="3108985"/>
                    <a:ext cx="181068" cy="1426521"/>
                  </a:xfrm>
                  <a:prstGeom prst="triangle">
                    <a:avLst>
                      <a:gd name="adj" fmla="val 63429"/>
                    </a:avLst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</xdr:grpSp>
            <xdr:cxnSp macro="">
              <xdr:nvCxnSpPr>
                <xdr:cNvPr id="161" name="Straight Arrow Connector 160">
                  <a:extLst>
                    <a:ext uri="{FF2B5EF4-FFF2-40B4-BE49-F238E27FC236}">
                      <a16:creationId xmlns:a16="http://schemas.microsoft.com/office/drawing/2014/main" id="{4BF5190C-D81E-25B6-33C9-325BBC2C290A}"/>
                    </a:ext>
                  </a:extLst>
                </xdr:cNvPr>
                <xdr:cNvCxnSpPr/>
              </xdr:nvCxnSpPr>
              <xdr:spPr>
                <a:xfrm flipV="1">
                  <a:off x="2803779" y="2601187"/>
                  <a:ext cx="1444844" cy="1568465"/>
                </a:xfrm>
                <a:prstGeom prst="straightConnector1">
                  <a:avLst/>
                </a:prstGeom>
                <a:ln>
                  <a:solidFill>
                    <a:schemeClr val="bg1"/>
                  </a:solidFill>
                  <a:headEnd type="triangle"/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62" name="Straight Arrow Connector 161">
                  <a:extLst>
                    <a:ext uri="{FF2B5EF4-FFF2-40B4-BE49-F238E27FC236}">
                      <a16:creationId xmlns:a16="http://schemas.microsoft.com/office/drawing/2014/main" id="{E68203E0-D781-BB88-B0FD-7D87E141DAA4}"/>
                    </a:ext>
                  </a:extLst>
                </xdr:cNvPr>
                <xdr:cNvCxnSpPr>
                  <a:endCxn id="164" idx="2"/>
                </xdr:cNvCxnSpPr>
              </xdr:nvCxnSpPr>
              <xdr:spPr>
                <a:xfrm>
                  <a:off x="2562225" y="2978944"/>
                  <a:ext cx="1491745" cy="1414972"/>
                </a:xfrm>
                <a:prstGeom prst="straightConnector1">
                  <a:avLst/>
                </a:prstGeom>
                <a:ln>
                  <a:solidFill>
                    <a:schemeClr val="bg1"/>
                  </a:solidFill>
                  <a:headEnd type="triangle"/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156" name="TextBox 20">
                <a:extLst>
                  <a:ext uri="{FF2B5EF4-FFF2-40B4-BE49-F238E27FC236}">
                    <a16:creationId xmlns:a16="http://schemas.microsoft.com/office/drawing/2014/main" id="{918AD087-0754-1021-919A-2F96696CF3F3}"/>
                  </a:ext>
                </a:extLst>
              </xdr:cNvPr>
              <xdr:cNvSpPr txBox="1"/>
            </xdr:nvSpPr>
            <xdr:spPr>
              <a:xfrm>
                <a:off x="2651585" y="2684090"/>
                <a:ext cx="349063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900" b="1">
                    <a:solidFill>
                      <a:schemeClr val="bg1"/>
                    </a:solidFill>
                  </a:rPr>
                  <a:t>D2</a:t>
                </a:r>
              </a:p>
            </xdr:txBody>
          </xdr:sp>
          <xdr:sp macro="" textlink="">
            <xdr:nvSpPr>
              <xdr:cNvPr id="157" name="TextBox 55">
                <a:extLst>
                  <a:ext uri="{FF2B5EF4-FFF2-40B4-BE49-F238E27FC236}">
                    <a16:creationId xmlns:a16="http://schemas.microsoft.com/office/drawing/2014/main" id="{E5F2603F-177D-A007-DCCD-544CB193525B}"/>
                  </a:ext>
                </a:extLst>
              </xdr:cNvPr>
              <xdr:cNvSpPr txBox="1"/>
            </xdr:nvSpPr>
            <xdr:spPr>
              <a:xfrm>
                <a:off x="3934043" y="2456916"/>
                <a:ext cx="349063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900" b="1">
                    <a:solidFill>
                      <a:schemeClr val="bg1"/>
                    </a:solidFill>
                  </a:rPr>
                  <a:t>D1</a:t>
                </a:r>
              </a:p>
            </xdr:txBody>
          </xdr:sp>
          <xdr:sp macro="" textlink="">
            <xdr:nvSpPr>
              <xdr:cNvPr id="158" name="TextBox 56">
                <a:extLst>
                  <a:ext uri="{FF2B5EF4-FFF2-40B4-BE49-F238E27FC236}">
                    <a16:creationId xmlns:a16="http://schemas.microsoft.com/office/drawing/2014/main" id="{DD1B9119-4975-66F7-C2E6-ED35B757C3CD}"/>
                  </a:ext>
                </a:extLst>
              </xdr:cNvPr>
              <xdr:cNvSpPr txBox="1"/>
            </xdr:nvSpPr>
            <xdr:spPr>
              <a:xfrm>
                <a:off x="5299935" y="2634325"/>
                <a:ext cx="349063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900" b="1">
                    <a:solidFill>
                      <a:schemeClr val="bg1"/>
                    </a:solidFill>
                  </a:rPr>
                  <a:t>D2</a:t>
                </a:r>
              </a:p>
            </xdr:txBody>
          </xdr:sp>
          <xdr:sp macro="" textlink="">
            <xdr:nvSpPr>
              <xdr:cNvPr id="159" name="TextBox 57">
                <a:extLst>
                  <a:ext uri="{FF2B5EF4-FFF2-40B4-BE49-F238E27FC236}">
                    <a16:creationId xmlns:a16="http://schemas.microsoft.com/office/drawing/2014/main" id="{82D0C95E-FF1D-AC09-49CC-5AC06F97FB70}"/>
                  </a:ext>
                </a:extLst>
              </xdr:cNvPr>
              <xdr:cNvSpPr txBox="1"/>
            </xdr:nvSpPr>
            <xdr:spPr>
              <a:xfrm>
                <a:off x="6926157" y="2564815"/>
                <a:ext cx="349063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900" b="1">
                    <a:solidFill>
                      <a:schemeClr val="bg1"/>
                    </a:solidFill>
                  </a:rPr>
                  <a:t>D1</a:t>
                </a:r>
              </a:p>
            </xdr:txBody>
          </xdr:sp>
        </xdr:grpSp>
        <xdr:sp macro="" textlink="">
          <xdr:nvSpPr>
            <xdr:cNvPr id="134" name="TextBox 50">
              <a:extLst>
                <a:ext uri="{FF2B5EF4-FFF2-40B4-BE49-F238E27FC236}">
                  <a16:creationId xmlns:a16="http://schemas.microsoft.com/office/drawing/2014/main" id="{397F101F-FC75-2CCB-EA9F-13DA1BA976E4}"/>
                </a:ext>
              </a:extLst>
            </xdr:cNvPr>
            <xdr:cNvSpPr txBox="1"/>
          </xdr:nvSpPr>
          <xdr:spPr>
            <a:xfrm>
              <a:off x="8954799" y="7756966"/>
              <a:ext cx="350876" cy="191572"/>
            </a:xfrm>
            <a:prstGeom prst="rect">
              <a:avLst/>
            </a:prstGeom>
            <a:noFill/>
          </xdr:spPr>
          <xdr:txBody>
            <a:bodyPr wrap="square" lIns="0" tIns="0" rIns="0" bIns="0" rtlCol="0" anchor="ctr" anchorCtr="1"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/>
                <a:t>y</a:t>
              </a:r>
              <a:r>
                <a:rPr lang="en-GB" sz="1100" b="1" baseline="-25000"/>
                <a:t>ce</a:t>
              </a:r>
            </a:p>
          </xdr:txBody>
        </xdr:sp>
        <xdr:sp macro="" textlink="">
          <xdr:nvSpPr>
            <xdr:cNvPr id="135" name="TextBox 51">
              <a:extLst>
                <a:ext uri="{FF2B5EF4-FFF2-40B4-BE49-F238E27FC236}">
                  <a16:creationId xmlns:a16="http://schemas.microsoft.com/office/drawing/2014/main" id="{E5AFE00A-F449-6595-A039-AF242A68208D}"/>
                </a:ext>
              </a:extLst>
            </xdr:cNvPr>
            <xdr:cNvSpPr txBox="1"/>
          </xdr:nvSpPr>
          <xdr:spPr>
            <a:xfrm>
              <a:off x="8758676" y="7981896"/>
              <a:ext cx="324980" cy="159232"/>
            </a:xfrm>
            <a:prstGeom prst="rect">
              <a:avLst/>
            </a:prstGeom>
            <a:noFill/>
          </xdr:spPr>
          <xdr:txBody>
            <a:bodyPr wrap="square" lIns="0" tIns="0" rIns="0" bIns="0" rtlCol="0" anchor="ctr" anchorCtr="1"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/>
                <a:t>x</a:t>
              </a:r>
              <a:r>
                <a:rPr lang="en-GB" sz="1100" b="1" baseline="-25000"/>
                <a:t>ce</a:t>
              </a:r>
            </a:p>
          </xdr:txBody>
        </xdr:sp>
        <xdr:cxnSp macro="">
          <xdr:nvCxnSpPr>
            <xdr:cNvPr id="136" name="Straight Arrow Connector 135">
              <a:extLst>
                <a:ext uri="{FF2B5EF4-FFF2-40B4-BE49-F238E27FC236}">
                  <a16:creationId xmlns:a16="http://schemas.microsoft.com/office/drawing/2014/main" id="{7DD14EF2-1E37-3CBE-A9DD-C2F0E3D41F72}"/>
                </a:ext>
              </a:extLst>
            </xdr:cNvPr>
            <xdr:cNvCxnSpPr/>
          </xdr:nvCxnSpPr>
          <xdr:spPr>
            <a:xfrm>
              <a:off x="8991785" y="7766429"/>
              <a:ext cx="4346" cy="244612"/>
            </a:xfrm>
            <a:prstGeom prst="straightConnector1">
              <a:avLst/>
            </a:prstGeom>
            <a:ln>
              <a:solidFill>
                <a:schemeClr val="tx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7" name="Straight Arrow Connector 136">
              <a:extLst>
                <a:ext uri="{FF2B5EF4-FFF2-40B4-BE49-F238E27FC236}">
                  <a16:creationId xmlns:a16="http://schemas.microsoft.com/office/drawing/2014/main" id="{487E03F0-C3B3-5703-451E-75CBC56CF210}"/>
                </a:ext>
              </a:extLst>
            </xdr:cNvPr>
            <xdr:cNvCxnSpPr/>
          </xdr:nvCxnSpPr>
          <xdr:spPr>
            <a:xfrm flipH="1" flipV="1">
              <a:off x="8741767" y="7990074"/>
              <a:ext cx="202204" cy="154"/>
            </a:xfrm>
            <a:prstGeom prst="straightConnector1">
              <a:avLst/>
            </a:prstGeom>
            <a:ln>
              <a:solidFill>
                <a:schemeClr val="tx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38" name="TextBox 50">
              <a:extLst>
                <a:ext uri="{FF2B5EF4-FFF2-40B4-BE49-F238E27FC236}">
                  <a16:creationId xmlns:a16="http://schemas.microsoft.com/office/drawing/2014/main" id="{05C3FC8D-4814-E41A-2180-5231004F54AB}"/>
                </a:ext>
              </a:extLst>
            </xdr:cNvPr>
            <xdr:cNvSpPr txBox="1"/>
          </xdr:nvSpPr>
          <xdr:spPr>
            <a:xfrm>
              <a:off x="8771377" y="7568708"/>
              <a:ext cx="351745" cy="191572"/>
            </a:xfrm>
            <a:prstGeom prst="rect">
              <a:avLst/>
            </a:prstGeom>
            <a:noFill/>
          </xdr:spPr>
          <xdr:txBody>
            <a:bodyPr wrap="square" rtlCol="0" anchor="ctr"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100" b="1" baseline="0">
                  <a:solidFill>
                    <a:srgbClr val="FF0000"/>
                  </a:solidFill>
                </a:rPr>
                <a:t>Oe</a:t>
              </a:r>
              <a:endParaRPr lang="en-GB" sz="1100" b="1" baseline="-25000">
                <a:solidFill>
                  <a:srgbClr val="FF0000"/>
                </a:solidFill>
              </a:endParaRPr>
            </a:p>
          </xdr:txBody>
        </xdr:sp>
        <xdr:sp macro="" textlink="">
          <xdr:nvSpPr>
            <xdr:cNvPr id="139" name="Rectangle 138">
              <a:extLst>
                <a:ext uri="{FF2B5EF4-FFF2-40B4-BE49-F238E27FC236}">
                  <a16:creationId xmlns:a16="http://schemas.microsoft.com/office/drawing/2014/main" id="{133D9E92-E1C9-205C-9448-13F2376E3122}"/>
                </a:ext>
              </a:extLst>
            </xdr:cNvPr>
            <xdr:cNvSpPr/>
          </xdr:nvSpPr>
          <xdr:spPr>
            <a:xfrm>
              <a:off x="7796008" y="6684065"/>
              <a:ext cx="2302565" cy="2203173"/>
            </a:xfrm>
            <a:prstGeom prst="rect">
              <a:avLst/>
            </a:prstGeom>
            <a:noFill/>
            <a:ln w="19050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40" name="Rectangle 139">
              <a:extLst>
                <a:ext uri="{FF2B5EF4-FFF2-40B4-BE49-F238E27FC236}">
                  <a16:creationId xmlns:a16="http://schemas.microsoft.com/office/drawing/2014/main" id="{6597D67E-2B0C-4896-713F-3C3E7C240D51}"/>
                </a:ext>
              </a:extLst>
            </xdr:cNvPr>
            <xdr:cNvSpPr/>
          </xdr:nvSpPr>
          <xdr:spPr>
            <a:xfrm>
              <a:off x="5236682" y="6841434"/>
              <a:ext cx="2012674" cy="1896718"/>
            </a:xfrm>
            <a:prstGeom prst="rect">
              <a:avLst/>
            </a:prstGeom>
            <a:noFill/>
            <a:ln w="19050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41" name="TextBox 50">
              <a:extLst>
                <a:ext uri="{FF2B5EF4-FFF2-40B4-BE49-F238E27FC236}">
                  <a16:creationId xmlns:a16="http://schemas.microsoft.com/office/drawing/2014/main" id="{5EA3B308-539D-EC46-9249-252061D10486}"/>
                </a:ext>
              </a:extLst>
            </xdr:cNvPr>
            <xdr:cNvSpPr txBox="1"/>
          </xdr:nvSpPr>
          <xdr:spPr>
            <a:xfrm>
              <a:off x="8763395" y="7674512"/>
              <a:ext cx="351745" cy="191572"/>
            </a:xfrm>
            <a:prstGeom prst="rect">
              <a:avLst/>
            </a:prstGeom>
            <a:noFill/>
          </xdr:spPr>
          <xdr:txBody>
            <a:bodyPr wrap="square" rtlCol="0" anchor="ctr"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100" b="1">
                  <a:solidFill>
                    <a:srgbClr val="FF0000"/>
                  </a:solidFill>
                </a:rPr>
                <a:t>+</a:t>
              </a:r>
              <a:endParaRPr lang="en-GB" sz="1100" b="1" baseline="-25000">
                <a:solidFill>
                  <a:srgbClr val="FF0000"/>
                </a:solidFill>
              </a:endParaRPr>
            </a:p>
          </xdr:txBody>
        </xdr:sp>
        <xdr:sp macro="" textlink="">
          <xdr:nvSpPr>
            <xdr:cNvPr id="142" name="TextBox 50">
              <a:extLst>
                <a:ext uri="{FF2B5EF4-FFF2-40B4-BE49-F238E27FC236}">
                  <a16:creationId xmlns:a16="http://schemas.microsoft.com/office/drawing/2014/main" id="{2083C710-5D6D-5A46-8653-52AF3919D5E2}"/>
                </a:ext>
              </a:extLst>
            </xdr:cNvPr>
            <xdr:cNvSpPr txBox="1"/>
          </xdr:nvSpPr>
          <xdr:spPr>
            <a:xfrm>
              <a:off x="6271817" y="7745118"/>
              <a:ext cx="350876" cy="191572"/>
            </a:xfrm>
            <a:prstGeom prst="rect">
              <a:avLst/>
            </a:prstGeom>
            <a:noFill/>
          </xdr:spPr>
          <xdr:txBody>
            <a:bodyPr wrap="square" lIns="0" tIns="0" rIns="0" bIns="0" rtlCol="0" anchor="ctr" anchorCtr="1"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/>
                <a:t>y</a:t>
              </a:r>
              <a:r>
                <a:rPr lang="en-GB" sz="1100" b="1" baseline="-25000"/>
                <a:t>cr</a:t>
              </a:r>
            </a:p>
          </xdr:txBody>
        </xdr:sp>
        <xdr:sp macro="" textlink="">
          <xdr:nvSpPr>
            <xdr:cNvPr id="143" name="TextBox 51">
              <a:extLst>
                <a:ext uri="{FF2B5EF4-FFF2-40B4-BE49-F238E27FC236}">
                  <a16:creationId xmlns:a16="http://schemas.microsoft.com/office/drawing/2014/main" id="{205514DF-6590-03EF-6A5D-BC1F680B8259}"/>
                </a:ext>
              </a:extLst>
            </xdr:cNvPr>
            <xdr:cNvSpPr txBox="1"/>
          </xdr:nvSpPr>
          <xdr:spPr>
            <a:xfrm>
              <a:off x="6094989" y="7960361"/>
              <a:ext cx="324980" cy="159232"/>
            </a:xfrm>
            <a:prstGeom prst="rect">
              <a:avLst/>
            </a:prstGeom>
            <a:noFill/>
          </xdr:spPr>
          <xdr:txBody>
            <a:bodyPr wrap="square" lIns="0" tIns="0" rIns="0" bIns="0" rtlCol="0" anchor="ctr" anchorCtr="1"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/>
                <a:t>x</a:t>
              </a:r>
              <a:r>
                <a:rPr lang="en-GB" sz="1100" b="1" baseline="-25000"/>
                <a:t>cr</a:t>
              </a:r>
            </a:p>
          </xdr:txBody>
        </xdr:sp>
        <xdr:cxnSp macro="">
          <xdr:nvCxnSpPr>
            <xdr:cNvPr id="144" name="Straight Arrow Connector 143">
              <a:extLst>
                <a:ext uri="{FF2B5EF4-FFF2-40B4-BE49-F238E27FC236}">
                  <a16:creationId xmlns:a16="http://schemas.microsoft.com/office/drawing/2014/main" id="{D84047BF-EA2A-D371-F828-94AB4F1CED0A}"/>
                </a:ext>
              </a:extLst>
            </xdr:cNvPr>
            <xdr:cNvCxnSpPr>
              <a:stCxn id="147" idx="3"/>
            </xdr:cNvCxnSpPr>
          </xdr:nvCxnSpPr>
          <xdr:spPr>
            <a:xfrm flipH="1">
              <a:off x="6305189" y="7785749"/>
              <a:ext cx="4963" cy="184312"/>
            </a:xfrm>
            <a:prstGeom prst="straightConnector1">
              <a:avLst/>
            </a:prstGeom>
            <a:ln>
              <a:solidFill>
                <a:schemeClr val="tx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5" name="Straight Arrow Connector 144">
              <a:extLst>
                <a:ext uri="{FF2B5EF4-FFF2-40B4-BE49-F238E27FC236}">
                  <a16:creationId xmlns:a16="http://schemas.microsoft.com/office/drawing/2014/main" id="{BD06895D-1A6E-B387-96CF-03C49EA7E955}"/>
                </a:ext>
              </a:extLst>
            </xdr:cNvPr>
            <xdr:cNvCxnSpPr/>
          </xdr:nvCxnSpPr>
          <xdr:spPr>
            <a:xfrm flipH="1" flipV="1">
              <a:off x="6074686" y="7965755"/>
              <a:ext cx="161007" cy="6991"/>
            </a:xfrm>
            <a:prstGeom prst="straightConnector1">
              <a:avLst/>
            </a:prstGeom>
            <a:ln>
              <a:solidFill>
                <a:schemeClr val="tx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46" name="TextBox 50">
              <a:extLst>
                <a:ext uri="{FF2B5EF4-FFF2-40B4-BE49-F238E27FC236}">
                  <a16:creationId xmlns:a16="http://schemas.microsoft.com/office/drawing/2014/main" id="{B458336D-A275-7FCE-BF21-FD9EE3A2304C}"/>
                </a:ext>
              </a:extLst>
            </xdr:cNvPr>
            <xdr:cNvSpPr txBox="1"/>
          </xdr:nvSpPr>
          <xdr:spPr>
            <a:xfrm>
              <a:off x="6095530" y="7567439"/>
              <a:ext cx="351745" cy="191572"/>
            </a:xfrm>
            <a:prstGeom prst="rect">
              <a:avLst/>
            </a:prstGeom>
            <a:noFill/>
          </xdr:spPr>
          <xdr:txBody>
            <a:bodyPr wrap="square" rtlCol="0" anchor="ctr"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100" b="1" baseline="0">
                  <a:solidFill>
                    <a:srgbClr val="FF0000"/>
                  </a:solidFill>
                </a:rPr>
                <a:t>Or</a:t>
              </a:r>
              <a:endParaRPr lang="en-GB" sz="1100" b="1" baseline="-25000">
                <a:solidFill>
                  <a:srgbClr val="FF0000"/>
                </a:solidFill>
              </a:endParaRPr>
            </a:p>
          </xdr:txBody>
        </xdr:sp>
        <xdr:sp macro="" textlink="">
          <xdr:nvSpPr>
            <xdr:cNvPr id="147" name="TextBox 50">
              <a:extLst>
                <a:ext uri="{FF2B5EF4-FFF2-40B4-BE49-F238E27FC236}">
                  <a16:creationId xmlns:a16="http://schemas.microsoft.com/office/drawing/2014/main" id="{F7592090-23A3-1599-AB1A-001D7EBCA23E}"/>
                </a:ext>
              </a:extLst>
            </xdr:cNvPr>
            <xdr:cNvSpPr txBox="1"/>
          </xdr:nvSpPr>
          <xdr:spPr>
            <a:xfrm>
              <a:off x="6188771" y="7722392"/>
              <a:ext cx="121381" cy="126713"/>
            </a:xfrm>
            <a:prstGeom prst="rect">
              <a:avLst/>
            </a:prstGeom>
            <a:noFill/>
          </xdr:spPr>
          <xdr:txBody>
            <a:bodyPr wrap="square" rtlCol="0" anchor="ctr"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100" b="1">
                  <a:solidFill>
                    <a:srgbClr val="FF0000"/>
                  </a:solidFill>
                </a:rPr>
                <a:t>+</a:t>
              </a:r>
              <a:endParaRPr lang="en-GB" sz="1100" b="1" baseline="-25000">
                <a:solidFill>
                  <a:srgbClr val="FF0000"/>
                </a:solidFill>
              </a:endParaRPr>
            </a:p>
          </xdr:txBody>
        </xdr:sp>
      </xdr:grpSp>
      <xdr:cxnSp macro="">
        <xdr:nvCxnSpPr>
          <xdr:cNvPr id="129" name="Straight Connector 128">
            <a:extLst>
              <a:ext uri="{FF2B5EF4-FFF2-40B4-BE49-F238E27FC236}">
                <a16:creationId xmlns:a16="http://schemas.microsoft.com/office/drawing/2014/main" id="{2D168E18-69FF-055B-7116-1DC6E9DCD721}"/>
              </a:ext>
            </a:extLst>
          </xdr:cNvPr>
          <xdr:cNvCxnSpPr/>
        </xdr:nvCxnSpPr>
        <xdr:spPr>
          <a:xfrm>
            <a:off x="3926893" y="15388308"/>
            <a:ext cx="2321997" cy="2219739"/>
          </a:xfrm>
          <a:prstGeom prst="line">
            <a:avLst/>
          </a:prstGeom>
          <a:ln>
            <a:solidFill>
              <a:srgbClr val="FF00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0" name="Straight Connector 129">
            <a:extLst>
              <a:ext uri="{FF2B5EF4-FFF2-40B4-BE49-F238E27FC236}">
                <a16:creationId xmlns:a16="http://schemas.microsoft.com/office/drawing/2014/main" id="{80760134-DCBE-3CE9-8C9E-738E336961AE}"/>
              </a:ext>
            </a:extLst>
          </xdr:cNvPr>
          <xdr:cNvCxnSpPr/>
        </xdr:nvCxnSpPr>
        <xdr:spPr>
          <a:xfrm flipH="1">
            <a:off x="3918610" y="15396591"/>
            <a:ext cx="2321997" cy="2203173"/>
          </a:xfrm>
          <a:prstGeom prst="line">
            <a:avLst/>
          </a:prstGeom>
          <a:ln>
            <a:solidFill>
              <a:srgbClr val="FF00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1" name="Straight Connector 130">
            <a:extLst>
              <a:ext uri="{FF2B5EF4-FFF2-40B4-BE49-F238E27FC236}">
                <a16:creationId xmlns:a16="http://schemas.microsoft.com/office/drawing/2014/main" id="{0E32AF4A-D479-9705-A4CC-5E72A8044A44}"/>
              </a:ext>
            </a:extLst>
          </xdr:cNvPr>
          <xdr:cNvCxnSpPr/>
        </xdr:nvCxnSpPr>
        <xdr:spPr>
          <a:xfrm>
            <a:off x="1398351" y="15571583"/>
            <a:ext cx="1995106" cy="1880681"/>
          </a:xfrm>
          <a:prstGeom prst="line">
            <a:avLst/>
          </a:prstGeom>
          <a:ln>
            <a:solidFill>
              <a:srgbClr val="FF00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2" name="Straight Connector 131">
            <a:extLst>
              <a:ext uri="{FF2B5EF4-FFF2-40B4-BE49-F238E27FC236}">
                <a16:creationId xmlns:a16="http://schemas.microsoft.com/office/drawing/2014/main" id="{A7F777FB-9BDD-DBC9-2722-39965CFFED78}"/>
              </a:ext>
            </a:extLst>
          </xdr:cNvPr>
          <xdr:cNvCxnSpPr/>
        </xdr:nvCxnSpPr>
        <xdr:spPr>
          <a:xfrm flipH="1">
            <a:off x="1370649" y="15563476"/>
            <a:ext cx="2018756" cy="1904964"/>
          </a:xfrm>
          <a:prstGeom prst="line">
            <a:avLst/>
          </a:prstGeom>
          <a:ln>
            <a:solidFill>
              <a:srgbClr val="FF00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725365</xdr:colOff>
      <xdr:row>72</xdr:row>
      <xdr:rowOff>117233</xdr:rowOff>
    </xdr:from>
    <xdr:to>
      <xdr:col>8</xdr:col>
      <xdr:colOff>505557</xdr:colOff>
      <xdr:row>82</xdr:row>
      <xdr:rowOff>43963</xdr:rowOff>
    </xdr:to>
    <xdr:grpSp>
      <xdr:nvGrpSpPr>
        <xdr:cNvPr id="184" name="Group 183">
          <a:extLst>
            <a:ext uri="{FF2B5EF4-FFF2-40B4-BE49-F238E27FC236}">
              <a16:creationId xmlns:a16="http://schemas.microsoft.com/office/drawing/2014/main" id="{C5A59A94-E8D3-41B2-A5DF-715D2129078C}"/>
            </a:ext>
          </a:extLst>
        </xdr:cNvPr>
        <xdr:cNvGrpSpPr/>
      </xdr:nvGrpSpPr>
      <xdr:grpSpPr>
        <a:xfrm>
          <a:off x="2518306" y="16645909"/>
          <a:ext cx="4038427" cy="1831730"/>
          <a:chOff x="538369" y="15263892"/>
          <a:chExt cx="5836211" cy="2635939"/>
        </a:xfrm>
      </xdr:grpSpPr>
      <xdr:grpSp>
        <xdr:nvGrpSpPr>
          <xdr:cNvPr id="185" name="Group 184">
            <a:extLst>
              <a:ext uri="{FF2B5EF4-FFF2-40B4-BE49-F238E27FC236}">
                <a16:creationId xmlns:a16="http://schemas.microsoft.com/office/drawing/2014/main" id="{02B216E3-ED55-FD65-D2B5-8D6491985223}"/>
              </a:ext>
            </a:extLst>
          </xdr:cNvPr>
          <xdr:cNvGrpSpPr/>
        </xdr:nvGrpSpPr>
        <xdr:grpSpPr>
          <a:xfrm>
            <a:off x="538369" y="15263892"/>
            <a:ext cx="5836211" cy="2635939"/>
            <a:chOff x="4391855" y="6551543"/>
            <a:chExt cx="5837167" cy="2635939"/>
          </a:xfrm>
        </xdr:grpSpPr>
        <xdr:grpSp>
          <xdr:nvGrpSpPr>
            <xdr:cNvPr id="190" name="Group 189">
              <a:extLst>
                <a:ext uri="{FF2B5EF4-FFF2-40B4-BE49-F238E27FC236}">
                  <a16:creationId xmlns:a16="http://schemas.microsoft.com/office/drawing/2014/main" id="{BEBA45A2-22DA-0701-3CF6-F2D69E1D475D}"/>
                </a:ext>
              </a:extLst>
            </xdr:cNvPr>
            <xdr:cNvGrpSpPr/>
          </xdr:nvGrpSpPr>
          <xdr:grpSpPr>
            <a:xfrm>
              <a:off x="4391855" y="6551543"/>
              <a:ext cx="5837167" cy="2635939"/>
              <a:chOff x="1676400" y="1905000"/>
              <a:chExt cx="5943600" cy="2971800"/>
            </a:xfrm>
          </xdr:grpSpPr>
          <xdr:sp macro="" textlink="">
            <xdr:nvSpPr>
              <xdr:cNvPr id="201" name="Flowchart: Alternate Process 200">
                <a:extLst>
                  <a:ext uri="{FF2B5EF4-FFF2-40B4-BE49-F238E27FC236}">
                    <a16:creationId xmlns:a16="http://schemas.microsoft.com/office/drawing/2014/main" id="{BD5A3EE4-391B-DA15-E535-A8ADD1CCFB5B}"/>
                  </a:ext>
                </a:extLst>
              </xdr:cNvPr>
              <xdr:cNvSpPr/>
            </xdr:nvSpPr>
            <xdr:spPr>
              <a:xfrm>
                <a:off x="1676400" y="1905000"/>
                <a:ext cx="5943600" cy="2971800"/>
              </a:xfrm>
              <a:prstGeom prst="flowChartAlternateProcess">
                <a:avLst/>
              </a:prstGeom>
              <a:solidFill>
                <a:schemeClr val="bg1">
                  <a:lumMod val="6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pic>
            <xdr:nvPicPr>
              <xdr:cNvPr id="202" name="Picture 201">
                <a:extLst>
                  <a:ext uri="{FF2B5EF4-FFF2-40B4-BE49-F238E27FC236}">
                    <a16:creationId xmlns:a16="http://schemas.microsoft.com/office/drawing/2014/main" id="{363AFD18-A434-04B9-77E5-BED2901D1096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/>
              <a:stretch>
                <a:fillRect/>
              </a:stretch>
            </xdr:blipFill>
            <xdr:spPr>
              <a:xfrm>
                <a:off x="2290762" y="2314575"/>
                <a:ext cx="4562475" cy="2228850"/>
              </a:xfrm>
              <a:prstGeom prst="rect">
                <a:avLst/>
              </a:prstGeom>
            </xdr:spPr>
          </xdr:pic>
          <xdr:sp macro="" textlink="">
            <xdr:nvSpPr>
              <xdr:cNvPr id="203" name="Rectangle 202">
                <a:extLst>
                  <a:ext uri="{FF2B5EF4-FFF2-40B4-BE49-F238E27FC236}">
                    <a16:creationId xmlns:a16="http://schemas.microsoft.com/office/drawing/2014/main" id="{FAC4A0FE-CEAB-1C26-7AE0-A3EFF0D4301B}"/>
                  </a:ext>
                </a:extLst>
              </xdr:cNvPr>
              <xdr:cNvSpPr/>
            </xdr:nvSpPr>
            <xdr:spPr>
              <a:xfrm>
                <a:off x="2197345" y="2278380"/>
                <a:ext cx="187715" cy="2438400"/>
              </a:xfrm>
              <a:prstGeom prst="rect">
                <a:avLst/>
              </a:prstGeom>
              <a:solidFill>
                <a:schemeClr val="bg1">
                  <a:lumMod val="6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sp macro="" textlink="">
            <xdr:nvSpPr>
              <xdr:cNvPr id="204" name="Rectangle 203">
                <a:extLst>
                  <a:ext uri="{FF2B5EF4-FFF2-40B4-BE49-F238E27FC236}">
                    <a16:creationId xmlns:a16="http://schemas.microsoft.com/office/drawing/2014/main" id="{C280D5B8-D34C-410F-0E43-311A92A7CF40}"/>
                  </a:ext>
                </a:extLst>
              </xdr:cNvPr>
              <xdr:cNvSpPr/>
            </xdr:nvSpPr>
            <xdr:spPr>
              <a:xfrm>
                <a:off x="6797920" y="2118410"/>
                <a:ext cx="76200" cy="2438400"/>
              </a:xfrm>
              <a:prstGeom prst="rect">
                <a:avLst/>
              </a:prstGeom>
              <a:solidFill>
                <a:schemeClr val="bg1">
                  <a:lumMod val="6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sp macro="" textlink="">
            <xdr:nvSpPr>
              <xdr:cNvPr id="205" name="Rectangle 204">
                <a:extLst>
                  <a:ext uri="{FF2B5EF4-FFF2-40B4-BE49-F238E27FC236}">
                    <a16:creationId xmlns:a16="http://schemas.microsoft.com/office/drawing/2014/main" id="{9B557040-5833-15C7-F4B7-E73DA5456AEF}"/>
                  </a:ext>
                </a:extLst>
              </xdr:cNvPr>
              <xdr:cNvSpPr/>
            </xdr:nvSpPr>
            <xdr:spPr>
              <a:xfrm>
                <a:off x="2286000" y="2293620"/>
                <a:ext cx="4655820" cy="91440"/>
              </a:xfrm>
              <a:prstGeom prst="rect">
                <a:avLst/>
              </a:prstGeom>
              <a:solidFill>
                <a:schemeClr val="bg1">
                  <a:lumMod val="6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sp macro="" textlink="">
            <xdr:nvSpPr>
              <xdr:cNvPr id="206" name="Rectangle 205">
                <a:extLst>
                  <a:ext uri="{FF2B5EF4-FFF2-40B4-BE49-F238E27FC236}">
                    <a16:creationId xmlns:a16="http://schemas.microsoft.com/office/drawing/2014/main" id="{D562C143-50E6-7100-55BE-608A980D5DE4}"/>
                  </a:ext>
                </a:extLst>
              </xdr:cNvPr>
              <xdr:cNvSpPr/>
            </xdr:nvSpPr>
            <xdr:spPr>
              <a:xfrm>
                <a:off x="2254328" y="4479658"/>
                <a:ext cx="4655820" cy="91440"/>
              </a:xfrm>
              <a:prstGeom prst="rect">
                <a:avLst/>
              </a:prstGeom>
              <a:solidFill>
                <a:schemeClr val="bg1">
                  <a:lumMod val="6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grpSp>
            <xdr:nvGrpSpPr>
              <xdr:cNvPr id="207" name="Group 206">
                <a:extLst>
                  <a:ext uri="{FF2B5EF4-FFF2-40B4-BE49-F238E27FC236}">
                    <a16:creationId xmlns:a16="http://schemas.microsoft.com/office/drawing/2014/main" id="{A3BBA944-9B62-92DD-CFB1-DB5BA468259B}"/>
                  </a:ext>
                </a:extLst>
              </xdr:cNvPr>
              <xdr:cNvGrpSpPr/>
            </xdr:nvGrpSpPr>
            <xdr:grpSpPr>
              <a:xfrm>
                <a:off x="2536996" y="2254670"/>
                <a:ext cx="2142359" cy="2093440"/>
                <a:chOff x="2562225" y="2598419"/>
                <a:chExt cx="1793556" cy="1752602"/>
              </a:xfrm>
            </xdr:grpSpPr>
            <xdr:grpSp>
              <xdr:nvGrpSpPr>
                <xdr:cNvPr id="225" name="Group 224">
                  <a:extLst>
                    <a:ext uri="{FF2B5EF4-FFF2-40B4-BE49-F238E27FC236}">
                      <a16:creationId xmlns:a16="http://schemas.microsoft.com/office/drawing/2014/main" id="{D08B45FF-A8E4-CF8C-DE19-A80CD6052AA7}"/>
                    </a:ext>
                  </a:extLst>
                </xdr:cNvPr>
                <xdr:cNvGrpSpPr/>
              </xdr:nvGrpSpPr>
              <xdr:grpSpPr>
                <a:xfrm>
                  <a:off x="2562226" y="2598419"/>
                  <a:ext cx="1793555" cy="1752602"/>
                  <a:chOff x="2562226" y="2598419"/>
                  <a:chExt cx="1793555" cy="1752602"/>
                </a:xfrm>
              </xdr:grpSpPr>
              <xdr:grpSp>
                <xdr:nvGrpSpPr>
                  <xdr:cNvPr id="228" name="Group 227">
                    <a:extLst>
                      <a:ext uri="{FF2B5EF4-FFF2-40B4-BE49-F238E27FC236}">
                        <a16:creationId xmlns:a16="http://schemas.microsoft.com/office/drawing/2014/main" id="{7ED65B2B-5B71-05DD-EC3A-2168F849741F}"/>
                      </a:ext>
                    </a:extLst>
                  </xdr:cNvPr>
                  <xdr:cNvGrpSpPr/>
                </xdr:nvGrpSpPr>
                <xdr:grpSpPr>
                  <a:xfrm rot="10800000">
                    <a:off x="2562226" y="2598419"/>
                    <a:ext cx="1689733" cy="1752602"/>
                    <a:chOff x="2590798" y="3124199"/>
                    <a:chExt cx="4091725" cy="2819401"/>
                  </a:xfrm>
                </xdr:grpSpPr>
                <xdr:cxnSp macro="">
                  <xdr:nvCxnSpPr>
                    <xdr:cNvPr id="233" name="Straight Connector 232">
                      <a:extLst>
                        <a:ext uri="{FF2B5EF4-FFF2-40B4-BE49-F238E27FC236}">
                          <a16:creationId xmlns:a16="http://schemas.microsoft.com/office/drawing/2014/main" id="{27A70D2D-1CA2-E586-E63E-210680D03357}"/>
                        </a:ext>
                      </a:extLst>
                    </xdr:cNvPr>
                    <xdr:cNvCxnSpPr/>
                  </xdr:nvCxnSpPr>
                  <xdr:spPr>
                    <a:xfrm rot="10800000" flipH="1" flipV="1">
                      <a:off x="3047999" y="3124199"/>
                      <a:ext cx="2971800" cy="381000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34" name="Straight Connector 233">
                      <a:extLst>
                        <a:ext uri="{FF2B5EF4-FFF2-40B4-BE49-F238E27FC236}">
                          <a16:creationId xmlns:a16="http://schemas.microsoft.com/office/drawing/2014/main" id="{7DAD091C-4110-0C58-9A78-C65B3D735487}"/>
                        </a:ext>
                      </a:extLst>
                    </xdr:cNvPr>
                    <xdr:cNvCxnSpPr/>
                  </xdr:nvCxnSpPr>
                  <xdr:spPr>
                    <a:xfrm rot="10800000" flipH="1" flipV="1">
                      <a:off x="6019797" y="3505196"/>
                      <a:ext cx="656960" cy="1826253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35" name="Straight Connector 234">
                      <a:extLst>
                        <a:ext uri="{FF2B5EF4-FFF2-40B4-BE49-F238E27FC236}">
                          <a16:creationId xmlns:a16="http://schemas.microsoft.com/office/drawing/2014/main" id="{6BEF041F-27EA-AC45-5D7C-F5228EC812BC}"/>
                        </a:ext>
                      </a:extLst>
                    </xdr:cNvPr>
                    <xdr:cNvCxnSpPr/>
                  </xdr:nvCxnSpPr>
                  <xdr:spPr>
                    <a:xfrm rot="10800000" flipV="1">
                      <a:off x="2590800" y="5323789"/>
                      <a:ext cx="4091723" cy="619809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36" name="Straight Connector 235">
                      <a:extLst>
                        <a:ext uri="{FF2B5EF4-FFF2-40B4-BE49-F238E27FC236}">
                          <a16:creationId xmlns:a16="http://schemas.microsoft.com/office/drawing/2014/main" id="{78CE56F4-C13E-7771-D8EF-60ABE165884E}"/>
                        </a:ext>
                      </a:extLst>
                    </xdr:cNvPr>
                    <xdr:cNvCxnSpPr/>
                  </xdr:nvCxnSpPr>
                  <xdr:spPr>
                    <a:xfrm rot="10800000" flipH="1">
                      <a:off x="2590798" y="3124200"/>
                      <a:ext cx="457199" cy="2819400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</xdr:grpSp>
              <xdr:sp macro="" textlink="">
                <xdr:nvSpPr>
                  <xdr:cNvPr id="229" name="Rectangle 228">
                    <a:extLst>
                      <a:ext uri="{FF2B5EF4-FFF2-40B4-BE49-F238E27FC236}">
                        <a16:creationId xmlns:a16="http://schemas.microsoft.com/office/drawing/2014/main" id="{4F92DFD3-2A08-E0DA-3E96-BE8A1938D219}"/>
                      </a:ext>
                    </a:extLst>
                  </xdr:cNvPr>
                  <xdr:cNvSpPr/>
                </xdr:nvSpPr>
                <xdr:spPr>
                  <a:xfrm rot="4634191">
                    <a:off x="2861243" y="2614970"/>
                    <a:ext cx="981834" cy="1384746"/>
                  </a:xfrm>
                  <a:prstGeom prst="rect">
                    <a:avLst/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  <xdr:sp macro="" textlink="">
                <xdr:nvSpPr>
                  <xdr:cNvPr id="230" name="Isosceles Triangle 229">
                    <a:extLst>
                      <a:ext uri="{FF2B5EF4-FFF2-40B4-BE49-F238E27FC236}">
                        <a16:creationId xmlns:a16="http://schemas.microsoft.com/office/drawing/2014/main" id="{2C82265C-EE44-BE50-D76E-29CA758B8C95}"/>
                      </a:ext>
                    </a:extLst>
                  </xdr:cNvPr>
                  <xdr:cNvSpPr/>
                </xdr:nvSpPr>
                <xdr:spPr>
                  <a:xfrm rot="10106290">
                    <a:off x="4014281" y="2629960"/>
                    <a:ext cx="341500" cy="988535"/>
                  </a:xfrm>
                  <a:prstGeom prst="triangle">
                    <a:avLst>
                      <a:gd name="adj" fmla="val 94287"/>
                    </a:avLst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  <xdr:sp macro="" textlink="">
                <xdr:nvSpPr>
                  <xdr:cNvPr id="231" name="Isosceles Triangle 230">
                    <a:extLst>
                      <a:ext uri="{FF2B5EF4-FFF2-40B4-BE49-F238E27FC236}">
                        <a16:creationId xmlns:a16="http://schemas.microsoft.com/office/drawing/2014/main" id="{AABC183F-A5E6-38F9-020F-41D08E6B28E6}"/>
                      </a:ext>
                    </a:extLst>
                  </xdr:cNvPr>
                  <xdr:cNvSpPr/>
                </xdr:nvSpPr>
                <xdr:spPr>
                  <a:xfrm rot="16608172">
                    <a:off x="3123051" y="3290692"/>
                    <a:ext cx="717795" cy="1247153"/>
                  </a:xfrm>
                  <a:prstGeom prst="triangle">
                    <a:avLst>
                      <a:gd name="adj" fmla="val 11150"/>
                    </a:avLst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  <xdr:sp macro="" textlink="">
                <xdr:nvSpPr>
                  <xdr:cNvPr id="232" name="Isosceles Triangle 231">
                    <a:extLst>
                      <a:ext uri="{FF2B5EF4-FFF2-40B4-BE49-F238E27FC236}">
                        <a16:creationId xmlns:a16="http://schemas.microsoft.com/office/drawing/2014/main" id="{C7D641B4-79DD-69E5-D81F-1FD73DCAF222}"/>
                      </a:ext>
                    </a:extLst>
                  </xdr:cNvPr>
                  <xdr:cNvSpPr/>
                </xdr:nvSpPr>
                <xdr:spPr>
                  <a:xfrm rot="4345476">
                    <a:off x="3386313" y="3124511"/>
                    <a:ext cx="183805" cy="1384022"/>
                  </a:xfrm>
                  <a:prstGeom prst="triangle">
                    <a:avLst>
                      <a:gd name="adj" fmla="val 63429"/>
                    </a:avLst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</xdr:grpSp>
            <xdr:cxnSp macro="">
              <xdr:nvCxnSpPr>
                <xdr:cNvPr id="226" name="Straight Arrow Connector 225">
                  <a:extLst>
                    <a:ext uri="{FF2B5EF4-FFF2-40B4-BE49-F238E27FC236}">
                      <a16:creationId xmlns:a16="http://schemas.microsoft.com/office/drawing/2014/main" id="{44C338F9-6655-6A71-152C-C1FC5A0905FB}"/>
                    </a:ext>
                  </a:extLst>
                </xdr:cNvPr>
                <xdr:cNvCxnSpPr>
                  <a:stCxn id="232" idx="4"/>
                  <a:endCxn id="230" idx="2"/>
                </xdr:cNvCxnSpPr>
              </xdr:nvCxnSpPr>
              <xdr:spPr>
                <a:xfrm flipV="1">
                  <a:off x="2846258" y="2605767"/>
                  <a:ext cx="1406994" cy="1507328"/>
                </a:xfrm>
                <a:prstGeom prst="straightConnector1">
                  <a:avLst/>
                </a:prstGeom>
                <a:ln>
                  <a:solidFill>
                    <a:schemeClr val="bg1"/>
                  </a:solidFill>
                  <a:headEnd type="triangle"/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27" name="Straight Arrow Connector 226">
                  <a:extLst>
                    <a:ext uri="{FF2B5EF4-FFF2-40B4-BE49-F238E27FC236}">
                      <a16:creationId xmlns:a16="http://schemas.microsoft.com/office/drawing/2014/main" id="{A6C3AD34-5589-2716-4F24-478E6ADD4D69}"/>
                    </a:ext>
                  </a:extLst>
                </xdr:cNvPr>
                <xdr:cNvCxnSpPr>
                  <a:endCxn id="231" idx="2"/>
                </xdr:cNvCxnSpPr>
              </xdr:nvCxnSpPr>
              <xdr:spPr>
                <a:xfrm>
                  <a:off x="2562225" y="2978945"/>
                  <a:ext cx="1496397" cy="1365559"/>
                </a:xfrm>
                <a:prstGeom prst="straightConnector1">
                  <a:avLst/>
                </a:prstGeom>
                <a:ln>
                  <a:solidFill>
                    <a:schemeClr val="bg1"/>
                  </a:solidFill>
                  <a:headEnd type="triangle"/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208" name="Group 207">
                <a:extLst>
                  <a:ext uri="{FF2B5EF4-FFF2-40B4-BE49-F238E27FC236}">
                    <a16:creationId xmlns:a16="http://schemas.microsoft.com/office/drawing/2014/main" id="{57401ADC-C2FE-58C6-6526-12DF62D64A80}"/>
                  </a:ext>
                </a:extLst>
              </xdr:cNvPr>
              <xdr:cNvGrpSpPr/>
            </xdr:nvGrpSpPr>
            <xdr:grpSpPr>
              <a:xfrm>
                <a:off x="5154587" y="2076451"/>
                <a:ext cx="2459063" cy="2488319"/>
                <a:chOff x="2562225" y="2598420"/>
                <a:chExt cx="1793556" cy="1795496"/>
              </a:xfrm>
            </xdr:grpSpPr>
            <xdr:grpSp>
              <xdr:nvGrpSpPr>
                <xdr:cNvPr id="213" name="Group 212">
                  <a:extLst>
                    <a:ext uri="{FF2B5EF4-FFF2-40B4-BE49-F238E27FC236}">
                      <a16:creationId xmlns:a16="http://schemas.microsoft.com/office/drawing/2014/main" id="{777023B3-D93B-E6B4-6CC9-8668B33FC038}"/>
                    </a:ext>
                  </a:extLst>
                </xdr:cNvPr>
                <xdr:cNvGrpSpPr/>
              </xdr:nvGrpSpPr>
              <xdr:grpSpPr>
                <a:xfrm>
                  <a:off x="2562226" y="2598420"/>
                  <a:ext cx="1793555" cy="1752601"/>
                  <a:chOff x="2562226" y="2598420"/>
                  <a:chExt cx="1793555" cy="1752601"/>
                </a:xfrm>
              </xdr:grpSpPr>
              <xdr:sp macro="" textlink="">
                <xdr:nvSpPr>
                  <xdr:cNvPr id="216" name="Rectangle 215">
                    <a:extLst>
                      <a:ext uri="{FF2B5EF4-FFF2-40B4-BE49-F238E27FC236}">
                        <a16:creationId xmlns:a16="http://schemas.microsoft.com/office/drawing/2014/main" id="{C3BC75B8-4CED-39CD-BF30-EFBB817D3EF7}"/>
                      </a:ext>
                    </a:extLst>
                  </xdr:cNvPr>
                  <xdr:cNvSpPr/>
                </xdr:nvSpPr>
                <xdr:spPr>
                  <a:xfrm rot="4634191">
                    <a:off x="2851186" y="2607154"/>
                    <a:ext cx="981834" cy="1405368"/>
                  </a:xfrm>
                  <a:prstGeom prst="rect">
                    <a:avLst/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  <xdr:sp macro="" textlink="">
                <xdr:nvSpPr>
                  <xdr:cNvPr id="217" name="Isosceles Triangle 216">
                    <a:extLst>
                      <a:ext uri="{FF2B5EF4-FFF2-40B4-BE49-F238E27FC236}">
                        <a16:creationId xmlns:a16="http://schemas.microsoft.com/office/drawing/2014/main" id="{FB72EA05-F332-D517-C1D2-073E62884357}"/>
                      </a:ext>
                    </a:extLst>
                  </xdr:cNvPr>
                  <xdr:cNvSpPr/>
                </xdr:nvSpPr>
                <xdr:spPr>
                  <a:xfrm rot="16608172">
                    <a:off x="3063173" y="3275179"/>
                    <a:ext cx="786026" cy="1289647"/>
                  </a:xfrm>
                  <a:prstGeom prst="triangle">
                    <a:avLst>
                      <a:gd name="adj" fmla="val 9436"/>
                    </a:avLst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  <xdr:grpSp>
                <xdr:nvGrpSpPr>
                  <xdr:cNvPr id="218" name="Group 217">
                    <a:extLst>
                      <a:ext uri="{FF2B5EF4-FFF2-40B4-BE49-F238E27FC236}">
                        <a16:creationId xmlns:a16="http://schemas.microsoft.com/office/drawing/2014/main" id="{672B8B4A-ADA2-81B5-4B21-423DBC164FA3}"/>
                      </a:ext>
                    </a:extLst>
                  </xdr:cNvPr>
                  <xdr:cNvGrpSpPr/>
                </xdr:nvGrpSpPr>
                <xdr:grpSpPr>
                  <a:xfrm rot="10800000">
                    <a:off x="2562226" y="2598420"/>
                    <a:ext cx="1689733" cy="1752601"/>
                    <a:chOff x="2590798" y="3124200"/>
                    <a:chExt cx="4091725" cy="2819400"/>
                  </a:xfrm>
                </xdr:grpSpPr>
                <xdr:cxnSp macro="">
                  <xdr:nvCxnSpPr>
                    <xdr:cNvPr id="221" name="Straight Connector 220">
                      <a:extLst>
                        <a:ext uri="{FF2B5EF4-FFF2-40B4-BE49-F238E27FC236}">
                          <a16:creationId xmlns:a16="http://schemas.microsoft.com/office/drawing/2014/main" id="{DA6C276C-7CA6-4BD6-F275-C67F64676DC7}"/>
                        </a:ext>
                      </a:extLst>
                    </xdr:cNvPr>
                    <xdr:cNvCxnSpPr/>
                  </xdr:nvCxnSpPr>
                  <xdr:spPr>
                    <a:xfrm rot="10800000" flipH="1" flipV="1">
                      <a:off x="3132520" y="3129275"/>
                      <a:ext cx="2917069" cy="300048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22" name="Straight Connector 221">
                      <a:extLst>
                        <a:ext uri="{FF2B5EF4-FFF2-40B4-BE49-F238E27FC236}">
                          <a16:creationId xmlns:a16="http://schemas.microsoft.com/office/drawing/2014/main" id="{28ECAE1F-F036-B9C4-F60C-A72E98392438}"/>
                        </a:ext>
                      </a:extLst>
                    </xdr:cNvPr>
                    <xdr:cNvCxnSpPr/>
                  </xdr:nvCxnSpPr>
                  <xdr:spPr>
                    <a:xfrm rot="10800000" flipH="1" flipV="1">
                      <a:off x="6097597" y="3415964"/>
                      <a:ext cx="579157" cy="1915485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23" name="Straight Connector 222">
                      <a:extLst>
                        <a:ext uri="{FF2B5EF4-FFF2-40B4-BE49-F238E27FC236}">
                          <a16:creationId xmlns:a16="http://schemas.microsoft.com/office/drawing/2014/main" id="{D7210A96-D9FD-5592-988B-81CA893623EF}"/>
                        </a:ext>
                      </a:extLst>
                    </xdr:cNvPr>
                    <xdr:cNvCxnSpPr/>
                  </xdr:nvCxnSpPr>
                  <xdr:spPr>
                    <a:xfrm rot="10800000" flipV="1">
                      <a:off x="2590800" y="5323788"/>
                      <a:ext cx="4091723" cy="619809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24" name="Straight Connector 223">
                      <a:extLst>
                        <a:ext uri="{FF2B5EF4-FFF2-40B4-BE49-F238E27FC236}">
                          <a16:creationId xmlns:a16="http://schemas.microsoft.com/office/drawing/2014/main" id="{D77C7B68-6AA1-4225-BA72-088EEECB1526}"/>
                        </a:ext>
                      </a:extLst>
                    </xdr:cNvPr>
                    <xdr:cNvCxnSpPr/>
                  </xdr:nvCxnSpPr>
                  <xdr:spPr>
                    <a:xfrm rot="10800000" flipH="1">
                      <a:off x="2590798" y="3124200"/>
                      <a:ext cx="457201" cy="2819400"/>
                    </a:xfrm>
                    <a:prstGeom prst="line">
                      <a:avLst/>
                    </a:prstGeom>
                    <a:ln>
                      <a:solidFill>
                        <a:schemeClr val="bg1"/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</xdr:grpSp>
              <xdr:sp macro="" textlink="">
                <xdr:nvSpPr>
                  <xdr:cNvPr id="219" name="Isosceles Triangle 218">
                    <a:extLst>
                      <a:ext uri="{FF2B5EF4-FFF2-40B4-BE49-F238E27FC236}">
                        <a16:creationId xmlns:a16="http://schemas.microsoft.com/office/drawing/2014/main" id="{607126EA-D376-4943-41D6-D6E79F908D88}"/>
                      </a:ext>
                    </a:extLst>
                  </xdr:cNvPr>
                  <xdr:cNvSpPr/>
                </xdr:nvSpPr>
                <xdr:spPr>
                  <a:xfrm rot="10106290">
                    <a:off x="4014281" y="2629960"/>
                    <a:ext cx="341500" cy="988535"/>
                  </a:xfrm>
                  <a:prstGeom prst="triangle">
                    <a:avLst>
                      <a:gd name="adj" fmla="val 93244"/>
                    </a:avLst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  <xdr:sp macro="" textlink="">
                <xdr:nvSpPr>
                  <xdr:cNvPr id="220" name="Isosceles Triangle 219">
                    <a:extLst>
                      <a:ext uri="{FF2B5EF4-FFF2-40B4-BE49-F238E27FC236}">
                        <a16:creationId xmlns:a16="http://schemas.microsoft.com/office/drawing/2014/main" id="{881775FF-863E-9CB4-677D-89C0146DF288}"/>
                      </a:ext>
                    </a:extLst>
                  </xdr:cNvPr>
                  <xdr:cNvSpPr/>
                </xdr:nvSpPr>
                <xdr:spPr>
                  <a:xfrm rot="4345476">
                    <a:off x="3367047" y="3108985"/>
                    <a:ext cx="181068" cy="1426521"/>
                  </a:xfrm>
                  <a:prstGeom prst="triangle">
                    <a:avLst>
                      <a:gd name="adj" fmla="val 63429"/>
                    </a:avLst>
                  </a:prstGeom>
                  <a:solidFill>
                    <a:schemeClr val="bg1">
                      <a:alpha val="27059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n-GB"/>
                  </a:p>
                </xdr:txBody>
              </xdr:sp>
            </xdr:grpSp>
            <xdr:cxnSp macro="">
              <xdr:nvCxnSpPr>
                <xdr:cNvPr id="214" name="Straight Arrow Connector 213">
                  <a:extLst>
                    <a:ext uri="{FF2B5EF4-FFF2-40B4-BE49-F238E27FC236}">
                      <a16:creationId xmlns:a16="http://schemas.microsoft.com/office/drawing/2014/main" id="{68937A2D-5E4F-F8B5-D7C3-4FE81D774A97}"/>
                    </a:ext>
                  </a:extLst>
                </xdr:cNvPr>
                <xdr:cNvCxnSpPr/>
              </xdr:nvCxnSpPr>
              <xdr:spPr>
                <a:xfrm flipV="1">
                  <a:off x="2803779" y="2601187"/>
                  <a:ext cx="1444844" cy="1568465"/>
                </a:xfrm>
                <a:prstGeom prst="straightConnector1">
                  <a:avLst/>
                </a:prstGeom>
                <a:ln>
                  <a:solidFill>
                    <a:schemeClr val="bg1"/>
                  </a:solidFill>
                  <a:headEnd type="triangle"/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15" name="Straight Arrow Connector 214">
                  <a:extLst>
                    <a:ext uri="{FF2B5EF4-FFF2-40B4-BE49-F238E27FC236}">
                      <a16:creationId xmlns:a16="http://schemas.microsoft.com/office/drawing/2014/main" id="{114605A7-3D71-FEEB-28A7-F58F282ED664}"/>
                    </a:ext>
                  </a:extLst>
                </xdr:cNvPr>
                <xdr:cNvCxnSpPr>
                  <a:endCxn id="217" idx="2"/>
                </xdr:cNvCxnSpPr>
              </xdr:nvCxnSpPr>
              <xdr:spPr>
                <a:xfrm>
                  <a:off x="2562225" y="2978944"/>
                  <a:ext cx="1491745" cy="1414972"/>
                </a:xfrm>
                <a:prstGeom prst="straightConnector1">
                  <a:avLst/>
                </a:prstGeom>
                <a:ln>
                  <a:solidFill>
                    <a:schemeClr val="bg1"/>
                  </a:solidFill>
                  <a:headEnd type="triangle"/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209" name="TextBox 20">
                <a:extLst>
                  <a:ext uri="{FF2B5EF4-FFF2-40B4-BE49-F238E27FC236}">
                    <a16:creationId xmlns:a16="http://schemas.microsoft.com/office/drawing/2014/main" id="{E7A1C5EC-CD4E-A573-5FBA-D1EA61498AF4}"/>
                  </a:ext>
                </a:extLst>
              </xdr:cNvPr>
              <xdr:cNvSpPr txBox="1"/>
            </xdr:nvSpPr>
            <xdr:spPr>
              <a:xfrm>
                <a:off x="2651585" y="2684090"/>
                <a:ext cx="349063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900" b="1">
                    <a:solidFill>
                      <a:schemeClr val="bg1"/>
                    </a:solidFill>
                  </a:rPr>
                  <a:t>D2</a:t>
                </a:r>
              </a:p>
            </xdr:txBody>
          </xdr:sp>
          <xdr:sp macro="" textlink="">
            <xdr:nvSpPr>
              <xdr:cNvPr id="210" name="TextBox 55">
                <a:extLst>
                  <a:ext uri="{FF2B5EF4-FFF2-40B4-BE49-F238E27FC236}">
                    <a16:creationId xmlns:a16="http://schemas.microsoft.com/office/drawing/2014/main" id="{E031CBCC-8083-DD56-59F5-7260FDAC93A0}"/>
                  </a:ext>
                </a:extLst>
              </xdr:cNvPr>
              <xdr:cNvSpPr txBox="1"/>
            </xdr:nvSpPr>
            <xdr:spPr>
              <a:xfrm>
                <a:off x="3934043" y="2456916"/>
                <a:ext cx="349063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900" b="1">
                    <a:solidFill>
                      <a:schemeClr val="bg1"/>
                    </a:solidFill>
                  </a:rPr>
                  <a:t>D1</a:t>
                </a:r>
              </a:p>
            </xdr:txBody>
          </xdr:sp>
          <xdr:sp macro="" textlink="">
            <xdr:nvSpPr>
              <xdr:cNvPr id="211" name="TextBox 56">
                <a:extLst>
                  <a:ext uri="{FF2B5EF4-FFF2-40B4-BE49-F238E27FC236}">
                    <a16:creationId xmlns:a16="http://schemas.microsoft.com/office/drawing/2014/main" id="{27C51E57-7C99-326F-295C-11D3CD06529E}"/>
                  </a:ext>
                </a:extLst>
              </xdr:cNvPr>
              <xdr:cNvSpPr txBox="1"/>
            </xdr:nvSpPr>
            <xdr:spPr>
              <a:xfrm>
                <a:off x="5299935" y="2634325"/>
                <a:ext cx="349063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900" b="1">
                    <a:solidFill>
                      <a:schemeClr val="bg1"/>
                    </a:solidFill>
                  </a:rPr>
                  <a:t>D2</a:t>
                </a:r>
              </a:p>
            </xdr:txBody>
          </xdr:sp>
          <xdr:sp macro="" textlink="">
            <xdr:nvSpPr>
              <xdr:cNvPr id="212" name="TextBox 57">
                <a:extLst>
                  <a:ext uri="{FF2B5EF4-FFF2-40B4-BE49-F238E27FC236}">
                    <a16:creationId xmlns:a16="http://schemas.microsoft.com/office/drawing/2014/main" id="{C3A1AD84-EED7-BF60-9B9A-1841B3AB6DF6}"/>
                  </a:ext>
                </a:extLst>
              </xdr:cNvPr>
              <xdr:cNvSpPr txBox="1"/>
            </xdr:nvSpPr>
            <xdr:spPr>
              <a:xfrm>
                <a:off x="6926157" y="2564815"/>
                <a:ext cx="349063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900" b="1">
                    <a:solidFill>
                      <a:schemeClr val="bg1"/>
                    </a:solidFill>
                  </a:rPr>
                  <a:t>D1</a:t>
                </a:r>
              </a:p>
            </xdr:txBody>
          </xdr:sp>
        </xdr:grpSp>
        <xdr:sp macro="" textlink="">
          <xdr:nvSpPr>
            <xdr:cNvPr id="191" name="TextBox 50">
              <a:extLst>
                <a:ext uri="{FF2B5EF4-FFF2-40B4-BE49-F238E27FC236}">
                  <a16:creationId xmlns:a16="http://schemas.microsoft.com/office/drawing/2014/main" id="{72A918E8-D1FF-3316-7F74-C057311E00D0}"/>
                </a:ext>
              </a:extLst>
            </xdr:cNvPr>
            <xdr:cNvSpPr txBox="1"/>
          </xdr:nvSpPr>
          <xdr:spPr>
            <a:xfrm>
              <a:off x="8954799" y="7756966"/>
              <a:ext cx="350876" cy="191572"/>
            </a:xfrm>
            <a:prstGeom prst="rect">
              <a:avLst/>
            </a:prstGeom>
            <a:noFill/>
          </xdr:spPr>
          <xdr:txBody>
            <a:bodyPr wrap="square" lIns="0" tIns="0" rIns="0" bIns="0" rtlCol="0" anchor="ctr" anchorCtr="1"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/>
                <a:t>y</a:t>
              </a:r>
              <a:r>
                <a:rPr lang="en-GB" sz="1100" b="1" baseline="-25000"/>
                <a:t>ce</a:t>
              </a:r>
            </a:p>
          </xdr:txBody>
        </xdr:sp>
        <xdr:sp macro="" textlink="">
          <xdr:nvSpPr>
            <xdr:cNvPr id="192" name="TextBox 51">
              <a:extLst>
                <a:ext uri="{FF2B5EF4-FFF2-40B4-BE49-F238E27FC236}">
                  <a16:creationId xmlns:a16="http://schemas.microsoft.com/office/drawing/2014/main" id="{845ACAC7-AC8B-AC19-835B-8B41681523E6}"/>
                </a:ext>
              </a:extLst>
            </xdr:cNvPr>
            <xdr:cNvSpPr txBox="1"/>
          </xdr:nvSpPr>
          <xdr:spPr>
            <a:xfrm>
              <a:off x="8758676" y="7981896"/>
              <a:ext cx="324980" cy="159232"/>
            </a:xfrm>
            <a:prstGeom prst="rect">
              <a:avLst/>
            </a:prstGeom>
            <a:noFill/>
          </xdr:spPr>
          <xdr:txBody>
            <a:bodyPr wrap="square" lIns="0" tIns="0" rIns="0" bIns="0" rtlCol="0" anchor="ctr" anchorCtr="1"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/>
                <a:t>x</a:t>
              </a:r>
              <a:r>
                <a:rPr lang="en-GB" sz="1100" b="1" baseline="-25000"/>
                <a:t>ce</a:t>
              </a:r>
            </a:p>
          </xdr:txBody>
        </xdr:sp>
        <xdr:cxnSp macro="">
          <xdr:nvCxnSpPr>
            <xdr:cNvPr id="193" name="Straight Arrow Connector 192">
              <a:extLst>
                <a:ext uri="{FF2B5EF4-FFF2-40B4-BE49-F238E27FC236}">
                  <a16:creationId xmlns:a16="http://schemas.microsoft.com/office/drawing/2014/main" id="{8EC2FA03-45D1-F6B1-F160-81052DBEEBD5}"/>
                </a:ext>
              </a:extLst>
            </xdr:cNvPr>
            <xdr:cNvCxnSpPr/>
          </xdr:nvCxnSpPr>
          <xdr:spPr>
            <a:xfrm>
              <a:off x="8991785" y="7766429"/>
              <a:ext cx="4346" cy="244612"/>
            </a:xfrm>
            <a:prstGeom prst="straightConnector1">
              <a:avLst/>
            </a:prstGeom>
            <a:ln>
              <a:solidFill>
                <a:schemeClr val="tx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4" name="Straight Arrow Connector 193">
              <a:extLst>
                <a:ext uri="{FF2B5EF4-FFF2-40B4-BE49-F238E27FC236}">
                  <a16:creationId xmlns:a16="http://schemas.microsoft.com/office/drawing/2014/main" id="{3F55634C-E1DF-E9F3-3BF3-66FDB5D4CD97}"/>
                </a:ext>
              </a:extLst>
            </xdr:cNvPr>
            <xdr:cNvCxnSpPr/>
          </xdr:nvCxnSpPr>
          <xdr:spPr>
            <a:xfrm flipH="1" flipV="1">
              <a:off x="8741767" y="7990074"/>
              <a:ext cx="202204" cy="154"/>
            </a:xfrm>
            <a:prstGeom prst="straightConnector1">
              <a:avLst/>
            </a:prstGeom>
            <a:ln>
              <a:solidFill>
                <a:schemeClr val="tx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95" name="TextBox 50">
              <a:extLst>
                <a:ext uri="{FF2B5EF4-FFF2-40B4-BE49-F238E27FC236}">
                  <a16:creationId xmlns:a16="http://schemas.microsoft.com/office/drawing/2014/main" id="{9C1BECF6-BAF9-77B9-E7D4-BCE829256A23}"/>
                </a:ext>
              </a:extLst>
            </xdr:cNvPr>
            <xdr:cNvSpPr txBox="1"/>
          </xdr:nvSpPr>
          <xdr:spPr>
            <a:xfrm>
              <a:off x="8771377" y="7568708"/>
              <a:ext cx="351745" cy="191572"/>
            </a:xfrm>
            <a:prstGeom prst="rect">
              <a:avLst/>
            </a:prstGeom>
            <a:noFill/>
          </xdr:spPr>
          <xdr:txBody>
            <a:bodyPr wrap="square" rtlCol="0" anchor="ctr"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100" b="1" baseline="0">
                  <a:solidFill>
                    <a:srgbClr val="FF0000"/>
                  </a:solidFill>
                </a:rPr>
                <a:t>Oe</a:t>
              </a:r>
              <a:endParaRPr lang="en-GB" sz="1100" b="1" baseline="-25000">
                <a:solidFill>
                  <a:srgbClr val="FF0000"/>
                </a:solidFill>
              </a:endParaRPr>
            </a:p>
          </xdr:txBody>
        </xdr:sp>
        <xdr:sp macro="" textlink="">
          <xdr:nvSpPr>
            <xdr:cNvPr id="196" name="Rectangle 195">
              <a:extLst>
                <a:ext uri="{FF2B5EF4-FFF2-40B4-BE49-F238E27FC236}">
                  <a16:creationId xmlns:a16="http://schemas.microsoft.com/office/drawing/2014/main" id="{4E01D158-0B9F-48DA-1FDD-BA092724B1BA}"/>
                </a:ext>
              </a:extLst>
            </xdr:cNvPr>
            <xdr:cNvSpPr/>
          </xdr:nvSpPr>
          <xdr:spPr>
            <a:xfrm>
              <a:off x="7796008" y="6684065"/>
              <a:ext cx="2302565" cy="2203173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97" name="Rectangle 196">
              <a:extLst>
                <a:ext uri="{FF2B5EF4-FFF2-40B4-BE49-F238E27FC236}">
                  <a16:creationId xmlns:a16="http://schemas.microsoft.com/office/drawing/2014/main" id="{58DD15B5-2CA9-435F-7CE8-DE29908E86D5}"/>
                </a:ext>
              </a:extLst>
            </xdr:cNvPr>
            <xdr:cNvSpPr/>
          </xdr:nvSpPr>
          <xdr:spPr>
            <a:xfrm>
              <a:off x="5236682" y="6841434"/>
              <a:ext cx="2012674" cy="1896718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98" name="TextBox 50">
              <a:extLst>
                <a:ext uri="{FF2B5EF4-FFF2-40B4-BE49-F238E27FC236}">
                  <a16:creationId xmlns:a16="http://schemas.microsoft.com/office/drawing/2014/main" id="{AE45B991-313E-E747-02A9-BC949924CE94}"/>
                </a:ext>
              </a:extLst>
            </xdr:cNvPr>
            <xdr:cNvSpPr txBox="1"/>
          </xdr:nvSpPr>
          <xdr:spPr>
            <a:xfrm>
              <a:off x="8763395" y="7674512"/>
              <a:ext cx="351745" cy="191572"/>
            </a:xfrm>
            <a:prstGeom prst="rect">
              <a:avLst/>
            </a:prstGeom>
            <a:noFill/>
          </xdr:spPr>
          <xdr:txBody>
            <a:bodyPr wrap="square" rtlCol="0" anchor="ctr"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100" b="1">
                  <a:solidFill>
                    <a:srgbClr val="FF0000"/>
                  </a:solidFill>
                </a:rPr>
                <a:t>+</a:t>
              </a:r>
              <a:endParaRPr lang="en-GB" sz="1100" b="1" baseline="-25000">
                <a:solidFill>
                  <a:srgbClr val="FF0000"/>
                </a:solidFill>
              </a:endParaRPr>
            </a:p>
          </xdr:txBody>
        </xdr:sp>
        <xdr:sp macro="" textlink="">
          <xdr:nvSpPr>
            <xdr:cNvPr id="199" name="TextBox 50">
              <a:extLst>
                <a:ext uri="{FF2B5EF4-FFF2-40B4-BE49-F238E27FC236}">
                  <a16:creationId xmlns:a16="http://schemas.microsoft.com/office/drawing/2014/main" id="{66038852-0FA6-569D-6D2E-041CA60517F3}"/>
                </a:ext>
              </a:extLst>
            </xdr:cNvPr>
            <xdr:cNvSpPr txBox="1"/>
          </xdr:nvSpPr>
          <xdr:spPr>
            <a:xfrm>
              <a:off x="6095530" y="7567439"/>
              <a:ext cx="351745" cy="191572"/>
            </a:xfrm>
            <a:prstGeom prst="rect">
              <a:avLst/>
            </a:prstGeom>
            <a:noFill/>
          </xdr:spPr>
          <xdr:txBody>
            <a:bodyPr wrap="square" rtlCol="0" anchor="ctr"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100" b="1" baseline="0">
                  <a:solidFill>
                    <a:srgbClr val="FF0000"/>
                  </a:solidFill>
                </a:rPr>
                <a:t>Or</a:t>
              </a:r>
              <a:endParaRPr lang="en-GB" sz="1100" b="1" baseline="-25000">
                <a:solidFill>
                  <a:srgbClr val="FF0000"/>
                </a:solidFill>
              </a:endParaRPr>
            </a:p>
          </xdr:txBody>
        </xdr:sp>
        <xdr:sp macro="" textlink="">
          <xdr:nvSpPr>
            <xdr:cNvPr id="200" name="TextBox 50">
              <a:extLst>
                <a:ext uri="{FF2B5EF4-FFF2-40B4-BE49-F238E27FC236}">
                  <a16:creationId xmlns:a16="http://schemas.microsoft.com/office/drawing/2014/main" id="{79A23893-0377-B70C-A9DD-4E894C22023B}"/>
                </a:ext>
              </a:extLst>
            </xdr:cNvPr>
            <xdr:cNvSpPr txBox="1"/>
          </xdr:nvSpPr>
          <xdr:spPr>
            <a:xfrm>
              <a:off x="6188771" y="7722392"/>
              <a:ext cx="121381" cy="126713"/>
            </a:xfrm>
            <a:prstGeom prst="rect">
              <a:avLst/>
            </a:prstGeom>
            <a:noFill/>
          </xdr:spPr>
          <xdr:txBody>
            <a:bodyPr wrap="square" rtlCol="0" anchor="ctr"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100" b="1">
                  <a:solidFill>
                    <a:srgbClr val="FF0000"/>
                  </a:solidFill>
                </a:rPr>
                <a:t>+</a:t>
              </a:r>
              <a:endParaRPr lang="en-GB" sz="1100" b="1" baseline="-25000">
                <a:solidFill>
                  <a:srgbClr val="FF0000"/>
                </a:solidFill>
              </a:endParaRPr>
            </a:p>
          </xdr:txBody>
        </xdr:sp>
      </xdr:grpSp>
      <xdr:cxnSp macro="">
        <xdr:nvCxnSpPr>
          <xdr:cNvPr id="186" name="Straight Connector 185">
            <a:extLst>
              <a:ext uri="{FF2B5EF4-FFF2-40B4-BE49-F238E27FC236}">
                <a16:creationId xmlns:a16="http://schemas.microsoft.com/office/drawing/2014/main" id="{0F093309-7C7B-F50B-53A5-FBED33909D0A}"/>
              </a:ext>
            </a:extLst>
          </xdr:cNvPr>
          <xdr:cNvCxnSpPr/>
        </xdr:nvCxnSpPr>
        <xdr:spPr>
          <a:xfrm>
            <a:off x="3926893" y="15388308"/>
            <a:ext cx="2321997" cy="2219739"/>
          </a:xfrm>
          <a:prstGeom prst="line">
            <a:avLst/>
          </a:prstGeom>
          <a:ln>
            <a:solidFill>
              <a:srgbClr val="FF00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7" name="Straight Connector 186">
            <a:extLst>
              <a:ext uri="{FF2B5EF4-FFF2-40B4-BE49-F238E27FC236}">
                <a16:creationId xmlns:a16="http://schemas.microsoft.com/office/drawing/2014/main" id="{77071EE3-3672-5501-8FE5-6E1985685A21}"/>
              </a:ext>
            </a:extLst>
          </xdr:cNvPr>
          <xdr:cNvCxnSpPr/>
        </xdr:nvCxnSpPr>
        <xdr:spPr>
          <a:xfrm flipH="1">
            <a:off x="3918610" y="15396591"/>
            <a:ext cx="2321997" cy="2203173"/>
          </a:xfrm>
          <a:prstGeom prst="line">
            <a:avLst/>
          </a:prstGeom>
          <a:ln>
            <a:solidFill>
              <a:srgbClr val="FF00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8" name="Straight Connector 187">
            <a:extLst>
              <a:ext uri="{FF2B5EF4-FFF2-40B4-BE49-F238E27FC236}">
                <a16:creationId xmlns:a16="http://schemas.microsoft.com/office/drawing/2014/main" id="{F255D64C-7FA2-8D9D-5772-1EF116445C63}"/>
              </a:ext>
            </a:extLst>
          </xdr:cNvPr>
          <xdr:cNvCxnSpPr/>
        </xdr:nvCxnSpPr>
        <xdr:spPr>
          <a:xfrm>
            <a:off x="1398351" y="15571583"/>
            <a:ext cx="1995106" cy="1880681"/>
          </a:xfrm>
          <a:prstGeom prst="line">
            <a:avLst/>
          </a:prstGeom>
          <a:ln>
            <a:solidFill>
              <a:srgbClr val="FF00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9" name="Straight Connector 188">
            <a:extLst>
              <a:ext uri="{FF2B5EF4-FFF2-40B4-BE49-F238E27FC236}">
                <a16:creationId xmlns:a16="http://schemas.microsoft.com/office/drawing/2014/main" id="{A05E758C-40B0-4696-4B86-3089B712C1BE}"/>
              </a:ext>
            </a:extLst>
          </xdr:cNvPr>
          <xdr:cNvCxnSpPr/>
        </xdr:nvCxnSpPr>
        <xdr:spPr>
          <a:xfrm flipH="1">
            <a:off x="1370649" y="15563476"/>
            <a:ext cx="2018756" cy="1904964"/>
          </a:xfrm>
          <a:prstGeom prst="line">
            <a:avLst/>
          </a:prstGeom>
          <a:ln>
            <a:solidFill>
              <a:srgbClr val="FF00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317607</xdr:colOff>
      <xdr:row>47</xdr:row>
      <xdr:rowOff>8886</xdr:rowOff>
    </xdr:from>
    <xdr:to>
      <xdr:col>17</xdr:col>
      <xdr:colOff>144007</xdr:colOff>
      <xdr:row>56</xdr:row>
      <xdr:rowOff>12394</xdr:rowOff>
    </xdr:to>
    <xdr:grpSp>
      <xdr:nvGrpSpPr>
        <xdr:cNvPr id="299" name="Group 298">
          <a:extLst>
            <a:ext uri="{FF2B5EF4-FFF2-40B4-BE49-F238E27FC236}">
              <a16:creationId xmlns:a16="http://schemas.microsoft.com/office/drawing/2014/main" id="{6AEB7B31-F456-2A1C-5409-91291BF8CC9D}"/>
            </a:ext>
          </a:extLst>
        </xdr:cNvPr>
        <xdr:cNvGrpSpPr/>
      </xdr:nvGrpSpPr>
      <xdr:grpSpPr>
        <a:xfrm>
          <a:off x="8923725" y="10643268"/>
          <a:ext cx="3703635" cy="1718008"/>
          <a:chOff x="7059650" y="10643755"/>
          <a:chExt cx="3735791" cy="1718008"/>
        </a:xfrm>
      </xdr:grpSpPr>
      <xdr:grpSp>
        <xdr:nvGrpSpPr>
          <xdr:cNvPr id="298" name="Group 297">
            <a:extLst>
              <a:ext uri="{FF2B5EF4-FFF2-40B4-BE49-F238E27FC236}">
                <a16:creationId xmlns:a16="http://schemas.microsoft.com/office/drawing/2014/main" id="{D969C7C5-2235-48AD-E45A-AF727A1D63EA}"/>
              </a:ext>
            </a:extLst>
          </xdr:cNvPr>
          <xdr:cNvGrpSpPr/>
        </xdr:nvGrpSpPr>
        <xdr:grpSpPr>
          <a:xfrm>
            <a:off x="7059650" y="10712917"/>
            <a:ext cx="3735791" cy="1648846"/>
            <a:chOff x="7059650" y="10712917"/>
            <a:chExt cx="3735791" cy="1648846"/>
          </a:xfrm>
        </xdr:grpSpPr>
        <xdr:sp macro="" textlink="">
          <xdr:nvSpPr>
            <xdr:cNvPr id="239" name="Flowchart: Alternate Process 238">
              <a:extLst>
                <a:ext uri="{FF2B5EF4-FFF2-40B4-BE49-F238E27FC236}">
                  <a16:creationId xmlns:a16="http://schemas.microsoft.com/office/drawing/2014/main" id="{2D88AF53-CA7F-4EF6-9A55-9948FA92FE56}"/>
                </a:ext>
              </a:extLst>
            </xdr:cNvPr>
            <xdr:cNvSpPr/>
          </xdr:nvSpPr>
          <xdr:spPr>
            <a:xfrm>
              <a:off x="7059650" y="10712917"/>
              <a:ext cx="3735791" cy="1648846"/>
            </a:xfrm>
            <a:prstGeom prst="flowChartAlternateProcess">
              <a:avLst/>
            </a:prstGeom>
            <a:solidFill>
              <a:schemeClr val="bg1">
                <a:lumMod val="6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GB"/>
            </a:p>
          </xdr:txBody>
        </xdr:sp>
        <xdr:pic>
          <xdr:nvPicPr>
            <xdr:cNvPr id="237" name="Picture 236">
              <a:extLst>
                <a:ext uri="{FF2B5EF4-FFF2-40B4-BE49-F238E27FC236}">
                  <a16:creationId xmlns:a16="http://schemas.microsoft.com/office/drawing/2014/main" id="{7BEC0281-A7A7-BA9C-C8D2-7F3CF4AAC56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7504044" y="10817087"/>
              <a:ext cx="2943636" cy="1390844"/>
            </a:xfrm>
            <a:prstGeom prst="rect">
              <a:avLst/>
            </a:prstGeom>
          </xdr:spPr>
        </xdr:pic>
      </xdr:grpSp>
      <xdr:grpSp>
        <xdr:nvGrpSpPr>
          <xdr:cNvPr id="245" name="Group 244">
            <a:extLst>
              <a:ext uri="{FF2B5EF4-FFF2-40B4-BE49-F238E27FC236}">
                <a16:creationId xmlns:a16="http://schemas.microsoft.com/office/drawing/2014/main" id="{92213B64-D06A-4CBB-953A-DB7F349BC6DE}"/>
              </a:ext>
            </a:extLst>
          </xdr:cNvPr>
          <xdr:cNvGrpSpPr/>
        </xdr:nvGrpSpPr>
        <xdr:grpSpPr>
          <a:xfrm>
            <a:off x="7224179" y="10643755"/>
            <a:ext cx="3477838" cy="1698312"/>
            <a:chOff x="1120741" y="10911508"/>
            <a:chExt cx="5434116" cy="2715019"/>
          </a:xfrm>
        </xdr:grpSpPr>
        <xdr:grpSp>
          <xdr:nvGrpSpPr>
            <xdr:cNvPr id="246" name="Group 245">
              <a:extLst>
                <a:ext uri="{FF2B5EF4-FFF2-40B4-BE49-F238E27FC236}">
                  <a16:creationId xmlns:a16="http://schemas.microsoft.com/office/drawing/2014/main" id="{936F3ADD-B87E-D0CF-1DA4-CAD149EAB59A}"/>
                </a:ext>
              </a:extLst>
            </xdr:cNvPr>
            <xdr:cNvGrpSpPr/>
          </xdr:nvGrpSpPr>
          <xdr:grpSpPr>
            <a:xfrm>
              <a:off x="1171160" y="10911508"/>
              <a:ext cx="5383697" cy="2683565"/>
              <a:chOff x="5160065" y="6344478"/>
              <a:chExt cx="5383697" cy="2683565"/>
            </a:xfrm>
          </xdr:grpSpPr>
          <xdr:grpSp>
            <xdr:nvGrpSpPr>
              <xdr:cNvPr id="248" name="Group 247">
                <a:extLst>
                  <a:ext uri="{FF2B5EF4-FFF2-40B4-BE49-F238E27FC236}">
                    <a16:creationId xmlns:a16="http://schemas.microsoft.com/office/drawing/2014/main" id="{B8F53EC3-4CD1-EF5B-D9D2-644F3A1E5CE0}"/>
                  </a:ext>
                </a:extLst>
              </xdr:cNvPr>
              <xdr:cNvGrpSpPr/>
            </xdr:nvGrpSpPr>
            <xdr:grpSpPr>
              <a:xfrm>
                <a:off x="5237039" y="6703618"/>
                <a:ext cx="4985745" cy="2207099"/>
                <a:chOff x="2536996" y="2076451"/>
                <a:chExt cx="5076654" cy="2488319"/>
              </a:xfrm>
            </xdr:grpSpPr>
            <xdr:grpSp>
              <xdr:nvGrpSpPr>
                <xdr:cNvPr id="265" name="Group 264">
                  <a:extLst>
                    <a:ext uri="{FF2B5EF4-FFF2-40B4-BE49-F238E27FC236}">
                      <a16:creationId xmlns:a16="http://schemas.microsoft.com/office/drawing/2014/main" id="{CF634F4D-6F9C-4590-580F-7A83FEEB4089}"/>
                    </a:ext>
                  </a:extLst>
                </xdr:cNvPr>
                <xdr:cNvGrpSpPr/>
              </xdr:nvGrpSpPr>
              <xdr:grpSpPr>
                <a:xfrm>
                  <a:off x="2536996" y="2254670"/>
                  <a:ext cx="2142359" cy="2093440"/>
                  <a:chOff x="2562225" y="2598419"/>
                  <a:chExt cx="1793556" cy="1752602"/>
                </a:xfrm>
              </xdr:grpSpPr>
              <xdr:grpSp>
                <xdr:nvGrpSpPr>
                  <xdr:cNvPr id="283" name="Group 282">
                    <a:extLst>
                      <a:ext uri="{FF2B5EF4-FFF2-40B4-BE49-F238E27FC236}">
                        <a16:creationId xmlns:a16="http://schemas.microsoft.com/office/drawing/2014/main" id="{F5A51E23-B3F4-6619-DFBC-B27576DB4C09}"/>
                      </a:ext>
                    </a:extLst>
                  </xdr:cNvPr>
                  <xdr:cNvGrpSpPr/>
                </xdr:nvGrpSpPr>
                <xdr:grpSpPr>
                  <a:xfrm>
                    <a:off x="2562226" y="2598419"/>
                    <a:ext cx="1793555" cy="1752602"/>
                    <a:chOff x="2562226" y="2598419"/>
                    <a:chExt cx="1793555" cy="1752602"/>
                  </a:xfrm>
                </xdr:grpSpPr>
                <xdr:grpSp>
                  <xdr:nvGrpSpPr>
                    <xdr:cNvPr id="286" name="Group 285">
                      <a:extLst>
                        <a:ext uri="{FF2B5EF4-FFF2-40B4-BE49-F238E27FC236}">
                          <a16:creationId xmlns:a16="http://schemas.microsoft.com/office/drawing/2014/main" id="{242591F4-622A-3DA5-B735-D0CF3633E400}"/>
                        </a:ext>
                      </a:extLst>
                    </xdr:cNvPr>
                    <xdr:cNvGrpSpPr/>
                  </xdr:nvGrpSpPr>
                  <xdr:grpSpPr>
                    <a:xfrm rot="10800000">
                      <a:off x="2562226" y="2598419"/>
                      <a:ext cx="1689733" cy="1752602"/>
                      <a:chOff x="2590798" y="3124199"/>
                      <a:chExt cx="4091725" cy="2819401"/>
                    </a:xfrm>
                  </xdr:grpSpPr>
                  <xdr:cxnSp macro="">
                    <xdr:nvCxnSpPr>
                      <xdr:cNvPr id="291" name="Straight Connector 290">
                        <a:extLst>
                          <a:ext uri="{FF2B5EF4-FFF2-40B4-BE49-F238E27FC236}">
                            <a16:creationId xmlns:a16="http://schemas.microsoft.com/office/drawing/2014/main" id="{92FC724F-A8B3-450C-E53A-7AFF3AD1E61D}"/>
                          </a:ext>
                        </a:extLst>
                      </xdr:cNvPr>
                      <xdr:cNvCxnSpPr/>
                    </xdr:nvCxnSpPr>
                    <xdr:spPr>
                      <a:xfrm rot="10800000" flipH="1" flipV="1">
                        <a:off x="3047999" y="3124199"/>
                        <a:ext cx="2971800" cy="381000"/>
                      </a:xfrm>
                      <a:prstGeom prst="line">
                        <a:avLst/>
                      </a:prstGeom>
                      <a:ln>
                        <a:solidFill>
                          <a:schemeClr val="bg1"/>
                        </a:solidFill>
                      </a:ln>
                    </xdr:spPr>
                    <xdr:style>
                      <a:lnRef idx="1">
                        <a:schemeClr val="dk1"/>
                      </a:lnRef>
                      <a:fillRef idx="0">
                        <a:schemeClr val="dk1"/>
                      </a:fillRef>
                      <a:effectRef idx="0">
                        <a:schemeClr val="dk1"/>
                      </a:effectRef>
                      <a:fontRef idx="minor">
                        <a:schemeClr val="tx1"/>
                      </a:fontRef>
                    </xdr:style>
                  </xdr:cxnSp>
                  <xdr:cxnSp macro="">
                    <xdr:nvCxnSpPr>
                      <xdr:cNvPr id="292" name="Straight Connector 291">
                        <a:extLst>
                          <a:ext uri="{FF2B5EF4-FFF2-40B4-BE49-F238E27FC236}">
                            <a16:creationId xmlns:a16="http://schemas.microsoft.com/office/drawing/2014/main" id="{D96D0DC4-3228-92F9-BBFD-E2C1F5C7FC99}"/>
                          </a:ext>
                        </a:extLst>
                      </xdr:cNvPr>
                      <xdr:cNvCxnSpPr/>
                    </xdr:nvCxnSpPr>
                    <xdr:spPr>
                      <a:xfrm rot="10800000" flipH="1" flipV="1">
                        <a:off x="6019797" y="3505196"/>
                        <a:ext cx="656960" cy="1826253"/>
                      </a:xfrm>
                      <a:prstGeom prst="line">
                        <a:avLst/>
                      </a:prstGeom>
                      <a:ln>
                        <a:solidFill>
                          <a:schemeClr val="bg1"/>
                        </a:solidFill>
                      </a:ln>
                    </xdr:spPr>
                    <xdr:style>
                      <a:lnRef idx="1">
                        <a:schemeClr val="dk1"/>
                      </a:lnRef>
                      <a:fillRef idx="0">
                        <a:schemeClr val="dk1"/>
                      </a:fillRef>
                      <a:effectRef idx="0">
                        <a:schemeClr val="dk1"/>
                      </a:effectRef>
                      <a:fontRef idx="minor">
                        <a:schemeClr val="tx1"/>
                      </a:fontRef>
                    </xdr:style>
                  </xdr:cxnSp>
                  <xdr:cxnSp macro="">
                    <xdr:nvCxnSpPr>
                      <xdr:cNvPr id="293" name="Straight Connector 292">
                        <a:extLst>
                          <a:ext uri="{FF2B5EF4-FFF2-40B4-BE49-F238E27FC236}">
                            <a16:creationId xmlns:a16="http://schemas.microsoft.com/office/drawing/2014/main" id="{DB085671-0E5F-589D-8B0C-23E71FB0D428}"/>
                          </a:ext>
                        </a:extLst>
                      </xdr:cNvPr>
                      <xdr:cNvCxnSpPr/>
                    </xdr:nvCxnSpPr>
                    <xdr:spPr>
                      <a:xfrm rot="10800000" flipV="1">
                        <a:off x="2590800" y="5323789"/>
                        <a:ext cx="4091723" cy="619809"/>
                      </a:xfrm>
                      <a:prstGeom prst="line">
                        <a:avLst/>
                      </a:prstGeom>
                      <a:ln>
                        <a:solidFill>
                          <a:schemeClr val="bg1"/>
                        </a:solidFill>
                      </a:ln>
                    </xdr:spPr>
                    <xdr:style>
                      <a:lnRef idx="1">
                        <a:schemeClr val="dk1"/>
                      </a:lnRef>
                      <a:fillRef idx="0">
                        <a:schemeClr val="dk1"/>
                      </a:fillRef>
                      <a:effectRef idx="0">
                        <a:schemeClr val="dk1"/>
                      </a:effectRef>
                      <a:fontRef idx="minor">
                        <a:schemeClr val="tx1"/>
                      </a:fontRef>
                    </xdr:style>
                  </xdr:cxnSp>
                  <xdr:cxnSp macro="">
                    <xdr:nvCxnSpPr>
                      <xdr:cNvPr id="294" name="Straight Connector 293">
                        <a:extLst>
                          <a:ext uri="{FF2B5EF4-FFF2-40B4-BE49-F238E27FC236}">
                            <a16:creationId xmlns:a16="http://schemas.microsoft.com/office/drawing/2014/main" id="{6A3A8EDB-92D4-60E4-EE2B-682429D2B7BA}"/>
                          </a:ext>
                        </a:extLst>
                      </xdr:cNvPr>
                      <xdr:cNvCxnSpPr/>
                    </xdr:nvCxnSpPr>
                    <xdr:spPr>
                      <a:xfrm rot="10800000" flipH="1">
                        <a:off x="2590798" y="3124200"/>
                        <a:ext cx="457199" cy="2819400"/>
                      </a:xfrm>
                      <a:prstGeom prst="line">
                        <a:avLst/>
                      </a:prstGeom>
                      <a:ln>
                        <a:solidFill>
                          <a:schemeClr val="bg1"/>
                        </a:solidFill>
                      </a:ln>
                    </xdr:spPr>
                    <xdr:style>
                      <a:lnRef idx="1">
                        <a:schemeClr val="dk1"/>
                      </a:lnRef>
                      <a:fillRef idx="0">
                        <a:schemeClr val="dk1"/>
                      </a:fillRef>
                      <a:effectRef idx="0">
                        <a:schemeClr val="dk1"/>
                      </a:effectRef>
                      <a:fontRef idx="minor">
                        <a:schemeClr val="tx1"/>
                      </a:fontRef>
                    </xdr:style>
                  </xdr:cxnSp>
                </xdr:grpSp>
                <xdr:sp macro="" textlink="">
                  <xdr:nvSpPr>
                    <xdr:cNvPr id="287" name="Rectangle 286">
                      <a:extLst>
                        <a:ext uri="{FF2B5EF4-FFF2-40B4-BE49-F238E27FC236}">
                          <a16:creationId xmlns:a16="http://schemas.microsoft.com/office/drawing/2014/main" id="{F0ED5A34-AB12-9EA3-B26C-659D1965B699}"/>
                        </a:ext>
                      </a:extLst>
                    </xdr:cNvPr>
                    <xdr:cNvSpPr/>
                  </xdr:nvSpPr>
                  <xdr:spPr>
                    <a:xfrm rot="4634191">
                      <a:off x="2861243" y="2614970"/>
                      <a:ext cx="981834" cy="1384746"/>
                    </a:xfrm>
                    <a:prstGeom prst="rect">
                      <a:avLst/>
                    </a:prstGeom>
                    <a:solidFill>
                      <a:schemeClr val="bg1">
                        <a:alpha val="27059"/>
                      </a:schemeClr>
                    </a:solidFill>
                    <a:ln>
                      <a:noFill/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rot="0" spcFirstLastPara="0" vert="horz" wrap="square" lIns="91440" tIns="45720" rIns="91440" bIns="45720" numCol="1" spcCol="0" rtlCol="0" fromWordArt="0" anchor="ctr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endParaRPr lang="en-GB"/>
                    </a:p>
                  </xdr:txBody>
                </xdr:sp>
                <xdr:sp macro="" textlink="">
                  <xdr:nvSpPr>
                    <xdr:cNvPr id="288" name="Isosceles Triangle 287">
                      <a:extLst>
                        <a:ext uri="{FF2B5EF4-FFF2-40B4-BE49-F238E27FC236}">
                          <a16:creationId xmlns:a16="http://schemas.microsoft.com/office/drawing/2014/main" id="{80362AB1-1FB9-9655-467E-C4F3C5B2AF05}"/>
                        </a:ext>
                      </a:extLst>
                    </xdr:cNvPr>
                    <xdr:cNvSpPr/>
                  </xdr:nvSpPr>
                  <xdr:spPr>
                    <a:xfrm rot="10106290">
                      <a:off x="4014281" y="2629960"/>
                      <a:ext cx="341500" cy="988535"/>
                    </a:xfrm>
                    <a:prstGeom prst="triangle">
                      <a:avLst>
                        <a:gd name="adj" fmla="val 94287"/>
                      </a:avLst>
                    </a:prstGeom>
                    <a:solidFill>
                      <a:schemeClr val="bg1">
                        <a:alpha val="27059"/>
                      </a:schemeClr>
                    </a:solidFill>
                    <a:ln>
                      <a:noFill/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rot="0" spcFirstLastPara="0" vert="horz" wrap="square" lIns="91440" tIns="45720" rIns="91440" bIns="45720" numCol="1" spcCol="0" rtlCol="0" fromWordArt="0" anchor="ctr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endParaRPr lang="en-GB"/>
                    </a:p>
                  </xdr:txBody>
                </xdr:sp>
                <xdr:sp macro="" textlink="">
                  <xdr:nvSpPr>
                    <xdr:cNvPr id="289" name="Isosceles Triangle 288">
                      <a:extLst>
                        <a:ext uri="{FF2B5EF4-FFF2-40B4-BE49-F238E27FC236}">
                          <a16:creationId xmlns:a16="http://schemas.microsoft.com/office/drawing/2014/main" id="{1A409946-6C02-BDF0-5C89-22ADA8C59BE8}"/>
                        </a:ext>
                      </a:extLst>
                    </xdr:cNvPr>
                    <xdr:cNvSpPr/>
                  </xdr:nvSpPr>
                  <xdr:spPr>
                    <a:xfrm rot="16608172">
                      <a:off x="3123051" y="3290692"/>
                      <a:ext cx="717795" cy="1247153"/>
                    </a:xfrm>
                    <a:prstGeom prst="triangle">
                      <a:avLst>
                        <a:gd name="adj" fmla="val 11150"/>
                      </a:avLst>
                    </a:prstGeom>
                    <a:solidFill>
                      <a:schemeClr val="bg1">
                        <a:alpha val="27059"/>
                      </a:schemeClr>
                    </a:solidFill>
                    <a:ln>
                      <a:noFill/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rot="0" spcFirstLastPara="0" vert="horz" wrap="square" lIns="91440" tIns="45720" rIns="91440" bIns="45720" numCol="1" spcCol="0" rtlCol="0" fromWordArt="0" anchor="ctr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endParaRPr lang="en-GB"/>
                    </a:p>
                  </xdr:txBody>
                </xdr:sp>
                <xdr:sp macro="" textlink="">
                  <xdr:nvSpPr>
                    <xdr:cNvPr id="290" name="Isosceles Triangle 289">
                      <a:extLst>
                        <a:ext uri="{FF2B5EF4-FFF2-40B4-BE49-F238E27FC236}">
                          <a16:creationId xmlns:a16="http://schemas.microsoft.com/office/drawing/2014/main" id="{D4D10EAE-A6D9-9271-C5F4-890F2DCEF1C1}"/>
                        </a:ext>
                      </a:extLst>
                    </xdr:cNvPr>
                    <xdr:cNvSpPr/>
                  </xdr:nvSpPr>
                  <xdr:spPr>
                    <a:xfrm rot="4345476">
                      <a:off x="3386313" y="3124511"/>
                      <a:ext cx="183805" cy="1384022"/>
                    </a:xfrm>
                    <a:prstGeom prst="triangle">
                      <a:avLst>
                        <a:gd name="adj" fmla="val 63429"/>
                      </a:avLst>
                    </a:prstGeom>
                    <a:solidFill>
                      <a:schemeClr val="bg1">
                        <a:alpha val="27059"/>
                      </a:schemeClr>
                    </a:solidFill>
                    <a:ln>
                      <a:noFill/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rot="0" spcFirstLastPara="0" vert="horz" wrap="square" lIns="91440" tIns="45720" rIns="91440" bIns="45720" numCol="1" spcCol="0" rtlCol="0" fromWordArt="0" anchor="ctr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endParaRPr lang="en-GB"/>
                    </a:p>
                  </xdr:txBody>
                </xdr:sp>
              </xdr:grpSp>
              <xdr:cxnSp macro="">
                <xdr:nvCxnSpPr>
                  <xdr:cNvPr id="284" name="Straight Arrow Connector 283">
                    <a:extLst>
                      <a:ext uri="{FF2B5EF4-FFF2-40B4-BE49-F238E27FC236}">
                        <a16:creationId xmlns:a16="http://schemas.microsoft.com/office/drawing/2014/main" id="{EEB273EE-10DC-9075-9780-4B2E8026A88B}"/>
                      </a:ext>
                    </a:extLst>
                  </xdr:cNvPr>
                  <xdr:cNvCxnSpPr>
                    <a:stCxn id="290" idx="4"/>
                    <a:endCxn id="288" idx="2"/>
                  </xdr:cNvCxnSpPr>
                </xdr:nvCxnSpPr>
                <xdr:spPr>
                  <a:xfrm flipV="1">
                    <a:off x="2846258" y="2605767"/>
                    <a:ext cx="1406994" cy="1507328"/>
                  </a:xfrm>
                  <a:prstGeom prst="straightConnector1">
                    <a:avLst/>
                  </a:prstGeom>
                  <a:ln>
                    <a:solidFill>
                      <a:schemeClr val="bg1"/>
                    </a:solidFill>
                    <a:headEnd type="triangle"/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285" name="Straight Arrow Connector 284">
                    <a:extLst>
                      <a:ext uri="{FF2B5EF4-FFF2-40B4-BE49-F238E27FC236}">
                        <a16:creationId xmlns:a16="http://schemas.microsoft.com/office/drawing/2014/main" id="{BDCB4686-1FE2-5DF2-C8F7-00021DE73AA0}"/>
                      </a:ext>
                    </a:extLst>
                  </xdr:cNvPr>
                  <xdr:cNvCxnSpPr>
                    <a:endCxn id="289" idx="2"/>
                  </xdr:cNvCxnSpPr>
                </xdr:nvCxnSpPr>
                <xdr:spPr>
                  <a:xfrm>
                    <a:off x="2562225" y="2978945"/>
                    <a:ext cx="1496397" cy="1365559"/>
                  </a:xfrm>
                  <a:prstGeom prst="straightConnector1">
                    <a:avLst/>
                  </a:prstGeom>
                  <a:ln>
                    <a:solidFill>
                      <a:schemeClr val="bg1"/>
                    </a:solidFill>
                    <a:headEnd type="triangle"/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266" name="Group 265">
                  <a:extLst>
                    <a:ext uri="{FF2B5EF4-FFF2-40B4-BE49-F238E27FC236}">
                      <a16:creationId xmlns:a16="http://schemas.microsoft.com/office/drawing/2014/main" id="{012595B8-B7D6-599E-1A2F-B46E51694F1F}"/>
                    </a:ext>
                  </a:extLst>
                </xdr:cNvPr>
                <xdr:cNvGrpSpPr/>
              </xdr:nvGrpSpPr>
              <xdr:grpSpPr>
                <a:xfrm>
                  <a:off x="5154587" y="2076451"/>
                  <a:ext cx="2459063" cy="2488319"/>
                  <a:chOff x="2562225" y="2598420"/>
                  <a:chExt cx="1793556" cy="1795496"/>
                </a:xfrm>
              </xdr:grpSpPr>
              <xdr:grpSp>
                <xdr:nvGrpSpPr>
                  <xdr:cNvPr id="271" name="Group 270">
                    <a:extLst>
                      <a:ext uri="{FF2B5EF4-FFF2-40B4-BE49-F238E27FC236}">
                        <a16:creationId xmlns:a16="http://schemas.microsoft.com/office/drawing/2014/main" id="{374C7049-BC15-5CE2-B5F3-2B297F484859}"/>
                      </a:ext>
                    </a:extLst>
                  </xdr:cNvPr>
                  <xdr:cNvGrpSpPr/>
                </xdr:nvGrpSpPr>
                <xdr:grpSpPr>
                  <a:xfrm>
                    <a:off x="2562226" y="2598420"/>
                    <a:ext cx="1793555" cy="1752601"/>
                    <a:chOff x="2562226" y="2598420"/>
                    <a:chExt cx="1793555" cy="1752601"/>
                  </a:xfrm>
                </xdr:grpSpPr>
                <xdr:sp macro="" textlink="">
                  <xdr:nvSpPr>
                    <xdr:cNvPr id="274" name="Rectangle 273">
                      <a:extLst>
                        <a:ext uri="{FF2B5EF4-FFF2-40B4-BE49-F238E27FC236}">
                          <a16:creationId xmlns:a16="http://schemas.microsoft.com/office/drawing/2014/main" id="{4DED5E4A-94AA-907D-B275-D7C304624AFA}"/>
                        </a:ext>
                      </a:extLst>
                    </xdr:cNvPr>
                    <xdr:cNvSpPr/>
                  </xdr:nvSpPr>
                  <xdr:spPr>
                    <a:xfrm rot="4634191">
                      <a:off x="2851186" y="2607154"/>
                      <a:ext cx="981834" cy="1405368"/>
                    </a:xfrm>
                    <a:prstGeom prst="rect">
                      <a:avLst/>
                    </a:prstGeom>
                    <a:solidFill>
                      <a:schemeClr val="bg1">
                        <a:alpha val="27059"/>
                      </a:schemeClr>
                    </a:solidFill>
                    <a:ln>
                      <a:noFill/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rot="0" spcFirstLastPara="0" vert="horz" wrap="square" lIns="91440" tIns="45720" rIns="91440" bIns="45720" numCol="1" spcCol="0" rtlCol="0" fromWordArt="0" anchor="ctr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endParaRPr lang="en-GB"/>
                    </a:p>
                  </xdr:txBody>
                </xdr:sp>
                <xdr:sp macro="" textlink="">
                  <xdr:nvSpPr>
                    <xdr:cNvPr id="275" name="Isosceles Triangle 274">
                      <a:extLst>
                        <a:ext uri="{FF2B5EF4-FFF2-40B4-BE49-F238E27FC236}">
                          <a16:creationId xmlns:a16="http://schemas.microsoft.com/office/drawing/2014/main" id="{BF4554CE-82B8-962B-A6FD-C1CD0917680F}"/>
                        </a:ext>
                      </a:extLst>
                    </xdr:cNvPr>
                    <xdr:cNvSpPr/>
                  </xdr:nvSpPr>
                  <xdr:spPr>
                    <a:xfrm rot="16608172">
                      <a:off x="3063173" y="3275179"/>
                      <a:ext cx="786026" cy="1289647"/>
                    </a:xfrm>
                    <a:prstGeom prst="triangle">
                      <a:avLst>
                        <a:gd name="adj" fmla="val 9436"/>
                      </a:avLst>
                    </a:prstGeom>
                    <a:solidFill>
                      <a:schemeClr val="bg1">
                        <a:alpha val="27059"/>
                      </a:schemeClr>
                    </a:solidFill>
                    <a:ln>
                      <a:noFill/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rot="0" spcFirstLastPara="0" vert="horz" wrap="square" lIns="91440" tIns="45720" rIns="91440" bIns="45720" numCol="1" spcCol="0" rtlCol="0" fromWordArt="0" anchor="ctr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endParaRPr lang="en-GB"/>
                    </a:p>
                  </xdr:txBody>
                </xdr:sp>
                <xdr:grpSp>
                  <xdr:nvGrpSpPr>
                    <xdr:cNvPr id="276" name="Group 275">
                      <a:extLst>
                        <a:ext uri="{FF2B5EF4-FFF2-40B4-BE49-F238E27FC236}">
                          <a16:creationId xmlns:a16="http://schemas.microsoft.com/office/drawing/2014/main" id="{291487C4-F423-49CE-DE97-9B98E5668F5B}"/>
                        </a:ext>
                      </a:extLst>
                    </xdr:cNvPr>
                    <xdr:cNvGrpSpPr/>
                  </xdr:nvGrpSpPr>
                  <xdr:grpSpPr>
                    <a:xfrm rot="10800000">
                      <a:off x="2562226" y="2598420"/>
                      <a:ext cx="1689733" cy="1752601"/>
                      <a:chOff x="2590798" y="3124200"/>
                      <a:chExt cx="4091725" cy="2819400"/>
                    </a:xfrm>
                  </xdr:grpSpPr>
                  <xdr:cxnSp macro="">
                    <xdr:nvCxnSpPr>
                      <xdr:cNvPr id="279" name="Straight Connector 278">
                        <a:extLst>
                          <a:ext uri="{FF2B5EF4-FFF2-40B4-BE49-F238E27FC236}">
                            <a16:creationId xmlns:a16="http://schemas.microsoft.com/office/drawing/2014/main" id="{7A3D1416-72AB-2CAC-2B72-15809E8E4B84}"/>
                          </a:ext>
                        </a:extLst>
                      </xdr:cNvPr>
                      <xdr:cNvCxnSpPr/>
                    </xdr:nvCxnSpPr>
                    <xdr:spPr>
                      <a:xfrm rot="10800000" flipH="1" flipV="1">
                        <a:off x="3132520" y="3129275"/>
                        <a:ext cx="2917069" cy="300048"/>
                      </a:xfrm>
                      <a:prstGeom prst="line">
                        <a:avLst/>
                      </a:prstGeom>
                      <a:ln>
                        <a:solidFill>
                          <a:schemeClr val="bg1"/>
                        </a:solidFill>
                      </a:ln>
                    </xdr:spPr>
                    <xdr:style>
                      <a:lnRef idx="1">
                        <a:schemeClr val="dk1"/>
                      </a:lnRef>
                      <a:fillRef idx="0">
                        <a:schemeClr val="dk1"/>
                      </a:fillRef>
                      <a:effectRef idx="0">
                        <a:schemeClr val="dk1"/>
                      </a:effectRef>
                      <a:fontRef idx="minor">
                        <a:schemeClr val="tx1"/>
                      </a:fontRef>
                    </xdr:style>
                  </xdr:cxnSp>
                  <xdr:cxnSp macro="">
                    <xdr:nvCxnSpPr>
                      <xdr:cNvPr id="280" name="Straight Connector 279">
                        <a:extLst>
                          <a:ext uri="{FF2B5EF4-FFF2-40B4-BE49-F238E27FC236}">
                            <a16:creationId xmlns:a16="http://schemas.microsoft.com/office/drawing/2014/main" id="{16FEF131-3E4A-193B-A449-B8FC2043AA29}"/>
                          </a:ext>
                        </a:extLst>
                      </xdr:cNvPr>
                      <xdr:cNvCxnSpPr>
                        <a:stCxn id="254" idx="3"/>
                      </xdr:cNvCxnSpPr>
                    </xdr:nvCxnSpPr>
                    <xdr:spPr>
                      <a:xfrm rot="10800000" flipH="1" flipV="1">
                        <a:off x="6097597" y="3415964"/>
                        <a:ext cx="579157" cy="1915485"/>
                      </a:xfrm>
                      <a:prstGeom prst="line">
                        <a:avLst/>
                      </a:prstGeom>
                      <a:ln>
                        <a:solidFill>
                          <a:schemeClr val="bg1"/>
                        </a:solidFill>
                      </a:ln>
                    </xdr:spPr>
                    <xdr:style>
                      <a:lnRef idx="1">
                        <a:schemeClr val="dk1"/>
                      </a:lnRef>
                      <a:fillRef idx="0">
                        <a:schemeClr val="dk1"/>
                      </a:fillRef>
                      <a:effectRef idx="0">
                        <a:schemeClr val="dk1"/>
                      </a:effectRef>
                      <a:fontRef idx="minor">
                        <a:schemeClr val="tx1"/>
                      </a:fontRef>
                    </xdr:style>
                  </xdr:cxnSp>
                  <xdr:cxnSp macro="">
                    <xdr:nvCxnSpPr>
                      <xdr:cNvPr id="281" name="Straight Connector 280">
                        <a:extLst>
                          <a:ext uri="{FF2B5EF4-FFF2-40B4-BE49-F238E27FC236}">
                            <a16:creationId xmlns:a16="http://schemas.microsoft.com/office/drawing/2014/main" id="{BDC2C055-1C65-697D-3712-E7E7C8C36E9D}"/>
                          </a:ext>
                        </a:extLst>
                      </xdr:cNvPr>
                      <xdr:cNvCxnSpPr/>
                    </xdr:nvCxnSpPr>
                    <xdr:spPr>
                      <a:xfrm rot="10800000" flipV="1">
                        <a:off x="2590800" y="5323788"/>
                        <a:ext cx="4091723" cy="619809"/>
                      </a:xfrm>
                      <a:prstGeom prst="line">
                        <a:avLst/>
                      </a:prstGeom>
                      <a:ln>
                        <a:solidFill>
                          <a:schemeClr val="bg1"/>
                        </a:solidFill>
                      </a:ln>
                    </xdr:spPr>
                    <xdr:style>
                      <a:lnRef idx="1">
                        <a:schemeClr val="dk1"/>
                      </a:lnRef>
                      <a:fillRef idx="0">
                        <a:schemeClr val="dk1"/>
                      </a:fillRef>
                      <a:effectRef idx="0">
                        <a:schemeClr val="dk1"/>
                      </a:effectRef>
                      <a:fontRef idx="minor">
                        <a:schemeClr val="tx1"/>
                      </a:fontRef>
                    </xdr:style>
                  </xdr:cxnSp>
                  <xdr:cxnSp macro="">
                    <xdr:nvCxnSpPr>
                      <xdr:cNvPr id="282" name="Straight Connector 281">
                        <a:extLst>
                          <a:ext uri="{FF2B5EF4-FFF2-40B4-BE49-F238E27FC236}">
                            <a16:creationId xmlns:a16="http://schemas.microsoft.com/office/drawing/2014/main" id="{5072A310-3B92-22B6-A198-F63E0F42A480}"/>
                          </a:ext>
                        </a:extLst>
                      </xdr:cNvPr>
                      <xdr:cNvCxnSpPr/>
                    </xdr:nvCxnSpPr>
                    <xdr:spPr>
                      <a:xfrm rot="10800000" flipH="1">
                        <a:off x="2590798" y="3124200"/>
                        <a:ext cx="457201" cy="2819400"/>
                      </a:xfrm>
                      <a:prstGeom prst="line">
                        <a:avLst/>
                      </a:prstGeom>
                      <a:ln>
                        <a:solidFill>
                          <a:schemeClr val="bg1"/>
                        </a:solidFill>
                      </a:ln>
                    </xdr:spPr>
                    <xdr:style>
                      <a:lnRef idx="1">
                        <a:schemeClr val="dk1"/>
                      </a:lnRef>
                      <a:fillRef idx="0">
                        <a:schemeClr val="dk1"/>
                      </a:fillRef>
                      <a:effectRef idx="0">
                        <a:schemeClr val="dk1"/>
                      </a:effectRef>
                      <a:fontRef idx="minor">
                        <a:schemeClr val="tx1"/>
                      </a:fontRef>
                    </xdr:style>
                  </xdr:cxnSp>
                </xdr:grpSp>
                <xdr:sp macro="" textlink="">
                  <xdr:nvSpPr>
                    <xdr:cNvPr id="277" name="Isosceles Triangle 276">
                      <a:extLst>
                        <a:ext uri="{FF2B5EF4-FFF2-40B4-BE49-F238E27FC236}">
                          <a16:creationId xmlns:a16="http://schemas.microsoft.com/office/drawing/2014/main" id="{9E773560-2458-F07A-2B65-F4EC38254508}"/>
                        </a:ext>
                      </a:extLst>
                    </xdr:cNvPr>
                    <xdr:cNvSpPr/>
                  </xdr:nvSpPr>
                  <xdr:spPr>
                    <a:xfrm rot="10106290">
                      <a:off x="4014281" y="2629960"/>
                      <a:ext cx="341500" cy="988535"/>
                    </a:xfrm>
                    <a:prstGeom prst="triangle">
                      <a:avLst>
                        <a:gd name="adj" fmla="val 93244"/>
                      </a:avLst>
                    </a:prstGeom>
                    <a:solidFill>
                      <a:schemeClr val="bg1">
                        <a:alpha val="27059"/>
                      </a:schemeClr>
                    </a:solidFill>
                    <a:ln>
                      <a:noFill/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rot="0" spcFirstLastPara="0" vert="horz" wrap="square" lIns="91440" tIns="45720" rIns="91440" bIns="45720" numCol="1" spcCol="0" rtlCol="0" fromWordArt="0" anchor="ctr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endParaRPr lang="en-GB"/>
                    </a:p>
                  </xdr:txBody>
                </xdr:sp>
                <xdr:sp macro="" textlink="">
                  <xdr:nvSpPr>
                    <xdr:cNvPr id="278" name="Isosceles Triangle 277">
                      <a:extLst>
                        <a:ext uri="{FF2B5EF4-FFF2-40B4-BE49-F238E27FC236}">
                          <a16:creationId xmlns:a16="http://schemas.microsoft.com/office/drawing/2014/main" id="{74AE03AA-880C-DA4A-8BBA-C80014E574D0}"/>
                        </a:ext>
                      </a:extLst>
                    </xdr:cNvPr>
                    <xdr:cNvSpPr/>
                  </xdr:nvSpPr>
                  <xdr:spPr>
                    <a:xfrm rot="4345476">
                      <a:off x="3367047" y="3108985"/>
                      <a:ext cx="181068" cy="1426521"/>
                    </a:xfrm>
                    <a:prstGeom prst="triangle">
                      <a:avLst>
                        <a:gd name="adj" fmla="val 63429"/>
                      </a:avLst>
                    </a:prstGeom>
                    <a:solidFill>
                      <a:schemeClr val="bg1">
                        <a:alpha val="27059"/>
                      </a:schemeClr>
                    </a:solidFill>
                    <a:ln>
                      <a:noFill/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rot="0" spcFirstLastPara="0" vert="horz" wrap="square" lIns="91440" tIns="45720" rIns="91440" bIns="45720" numCol="1" spcCol="0" rtlCol="0" fromWordArt="0" anchor="ctr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endParaRPr lang="en-GB"/>
                    </a:p>
                  </xdr:txBody>
                </xdr:sp>
              </xdr:grpSp>
              <xdr:cxnSp macro="">
                <xdr:nvCxnSpPr>
                  <xdr:cNvPr id="272" name="Straight Arrow Connector 271">
                    <a:extLst>
                      <a:ext uri="{FF2B5EF4-FFF2-40B4-BE49-F238E27FC236}">
                        <a16:creationId xmlns:a16="http://schemas.microsoft.com/office/drawing/2014/main" id="{DFE0B379-CF25-6435-87E3-C0314B1AA79B}"/>
                      </a:ext>
                    </a:extLst>
                  </xdr:cNvPr>
                  <xdr:cNvCxnSpPr>
                    <a:stCxn id="254" idx="3"/>
                  </xdr:cNvCxnSpPr>
                </xdr:nvCxnSpPr>
                <xdr:spPr>
                  <a:xfrm flipV="1">
                    <a:off x="2803779" y="2601187"/>
                    <a:ext cx="1444844" cy="1568465"/>
                  </a:xfrm>
                  <a:prstGeom prst="straightConnector1">
                    <a:avLst/>
                  </a:prstGeom>
                  <a:ln>
                    <a:solidFill>
                      <a:schemeClr val="bg1"/>
                    </a:solidFill>
                    <a:headEnd type="triangle"/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273" name="Straight Arrow Connector 272">
                    <a:extLst>
                      <a:ext uri="{FF2B5EF4-FFF2-40B4-BE49-F238E27FC236}">
                        <a16:creationId xmlns:a16="http://schemas.microsoft.com/office/drawing/2014/main" id="{BE33242E-CEF7-84FC-53AE-E17B9E864283}"/>
                      </a:ext>
                    </a:extLst>
                  </xdr:cNvPr>
                  <xdr:cNvCxnSpPr>
                    <a:endCxn id="275" idx="2"/>
                  </xdr:cNvCxnSpPr>
                </xdr:nvCxnSpPr>
                <xdr:spPr>
                  <a:xfrm>
                    <a:off x="2562225" y="2978944"/>
                    <a:ext cx="1491745" cy="1414972"/>
                  </a:xfrm>
                  <a:prstGeom prst="straightConnector1">
                    <a:avLst/>
                  </a:prstGeom>
                  <a:ln>
                    <a:solidFill>
                      <a:schemeClr val="bg1"/>
                    </a:solidFill>
                    <a:headEnd type="triangle"/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sp macro="" textlink="">
              <xdr:nvSpPr>
                <xdr:cNvPr id="267" name="TextBox 20">
                  <a:extLst>
                    <a:ext uri="{FF2B5EF4-FFF2-40B4-BE49-F238E27FC236}">
                      <a16:creationId xmlns:a16="http://schemas.microsoft.com/office/drawing/2014/main" id="{C547CE3B-22E2-FD54-2900-D3A6298B1DE2}"/>
                    </a:ext>
                  </a:extLst>
                </xdr:cNvPr>
                <xdr:cNvSpPr txBox="1"/>
              </xdr:nvSpPr>
              <xdr:spPr>
                <a:xfrm>
                  <a:off x="2651585" y="2684090"/>
                  <a:ext cx="349063" cy="23083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GB" sz="900" b="1">
                      <a:solidFill>
                        <a:schemeClr val="bg1"/>
                      </a:solidFill>
                    </a:rPr>
                    <a:t>D2</a:t>
                  </a:r>
                </a:p>
              </xdr:txBody>
            </xdr:sp>
            <xdr:sp macro="" textlink="">
              <xdr:nvSpPr>
                <xdr:cNvPr id="268" name="TextBox 55">
                  <a:extLst>
                    <a:ext uri="{FF2B5EF4-FFF2-40B4-BE49-F238E27FC236}">
                      <a16:creationId xmlns:a16="http://schemas.microsoft.com/office/drawing/2014/main" id="{983D757F-8DF0-1409-A3A7-8096119F7475}"/>
                    </a:ext>
                  </a:extLst>
                </xdr:cNvPr>
                <xdr:cNvSpPr txBox="1"/>
              </xdr:nvSpPr>
              <xdr:spPr>
                <a:xfrm>
                  <a:off x="3934043" y="2456916"/>
                  <a:ext cx="349063" cy="23083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GB" sz="900" b="1">
                      <a:solidFill>
                        <a:schemeClr val="bg1"/>
                      </a:solidFill>
                    </a:rPr>
                    <a:t>D1</a:t>
                  </a:r>
                </a:p>
              </xdr:txBody>
            </xdr:sp>
            <xdr:sp macro="" textlink="">
              <xdr:nvSpPr>
                <xdr:cNvPr id="269" name="TextBox 56">
                  <a:extLst>
                    <a:ext uri="{FF2B5EF4-FFF2-40B4-BE49-F238E27FC236}">
                      <a16:creationId xmlns:a16="http://schemas.microsoft.com/office/drawing/2014/main" id="{9267C25E-B006-4957-707B-895B870A4938}"/>
                    </a:ext>
                  </a:extLst>
                </xdr:cNvPr>
                <xdr:cNvSpPr txBox="1"/>
              </xdr:nvSpPr>
              <xdr:spPr>
                <a:xfrm>
                  <a:off x="5299935" y="2634325"/>
                  <a:ext cx="349063" cy="23083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GB" sz="900" b="1">
                      <a:solidFill>
                        <a:schemeClr val="bg1"/>
                      </a:solidFill>
                    </a:rPr>
                    <a:t>D2</a:t>
                  </a:r>
                </a:p>
              </xdr:txBody>
            </xdr:sp>
            <xdr:sp macro="" textlink="">
              <xdr:nvSpPr>
                <xdr:cNvPr id="270" name="TextBox 57">
                  <a:extLst>
                    <a:ext uri="{FF2B5EF4-FFF2-40B4-BE49-F238E27FC236}">
                      <a16:creationId xmlns:a16="http://schemas.microsoft.com/office/drawing/2014/main" id="{CAA45ADD-C5EE-CA52-A3D4-929741896D38}"/>
                    </a:ext>
                  </a:extLst>
                </xdr:cNvPr>
                <xdr:cNvSpPr txBox="1"/>
              </xdr:nvSpPr>
              <xdr:spPr>
                <a:xfrm>
                  <a:off x="6926157" y="2564815"/>
                  <a:ext cx="349063" cy="23083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GB" sz="900" b="1">
                      <a:solidFill>
                        <a:schemeClr val="bg1"/>
                      </a:solidFill>
                    </a:rPr>
                    <a:t>D1</a:t>
                  </a:r>
                </a:p>
              </xdr:txBody>
            </xdr:sp>
          </xdr:grpSp>
          <xdr:sp macro="" textlink="">
            <xdr:nvSpPr>
              <xdr:cNvPr id="249" name="TextBox 50">
                <a:extLst>
                  <a:ext uri="{FF2B5EF4-FFF2-40B4-BE49-F238E27FC236}">
                    <a16:creationId xmlns:a16="http://schemas.microsoft.com/office/drawing/2014/main" id="{B2ECFB66-462B-B841-50B2-11FC94EEAF57}"/>
                  </a:ext>
                </a:extLst>
              </xdr:cNvPr>
              <xdr:cNvSpPr txBox="1"/>
            </xdr:nvSpPr>
            <xdr:spPr>
              <a:xfrm>
                <a:off x="8971013" y="7756966"/>
                <a:ext cx="350876" cy="191572"/>
              </a:xfrm>
              <a:prstGeom prst="rect">
                <a:avLst/>
              </a:prstGeom>
              <a:noFill/>
            </xdr:spPr>
            <xdr:txBody>
              <a:bodyPr wrap="square" lIns="0" tIns="0" rIns="0" bIns="0" rtlCol="0" anchor="ctr" anchorCtr="1"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1100" b="1"/>
                  <a:t>y</a:t>
                </a:r>
                <a:r>
                  <a:rPr lang="en-GB" sz="1100" b="1" baseline="-25000"/>
                  <a:t>ce</a:t>
                </a:r>
              </a:p>
            </xdr:txBody>
          </xdr:sp>
          <xdr:sp macro="" textlink="">
            <xdr:nvSpPr>
              <xdr:cNvPr id="250" name="TextBox 51">
                <a:extLst>
                  <a:ext uri="{FF2B5EF4-FFF2-40B4-BE49-F238E27FC236}">
                    <a16:creationId xmlns:a16="http://schemas.microsoft.com/office/drawing/2014/main" id="{19076AF4-439B-E0EC-5E9B-B6690AD21D59}"/>
                  </a:ext>
                </a:extLst>
              </xdr:cNvPr>
              <xdr:cNvSpPr txBox="1"/>
            </xdr:nvSpPr>
            <xdr:spPr>
              <a:xfrm>
                <a:off x="8758676" y="7981896"/>
                <a:ext cx="324980" cy="159232"/>
              </a:xfrm>
              <a:prstGeom prst="rect">
                <a:avLst/>
              </a:prstGeom>
              <a:noFill/>
            </xdr:spPr>
            <xdr:txBody>
              <a:bodyPr wrap="square" lIns="0" tIns="0" rIns="0" bIns="0" rtlCol="0" anchor="ctr" anchorCtr="1"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1100" b="1"/>
                  <a:t>x</a:t>
                </a:r>
                <a:r>
                  <a:rPr lang="en-GB" sz="1100" b="1" baseline="-25000"/>
                  <a:t>ce</a:t>
                </a:r>
              </a:p>
            </xdr:txBody>
          </xdr:sp>
          <xdr:cxnSp macro="">
            <xdr:nvCxnSpPr>
              <xdr:cNvPr id="251" name="Straight Arrow Connector 250">
                <a:extLst>
                  <a:ext uri="{FF2B5EF4-FFF2-40B4-BE49-F238E27FC236}">
                    <a16:creationId xmlns:a16="http://schemas.microsoft.com/office/drawing/2014/main" id="{EDB1A733-25B4-8991-BBDF-13753D9086CF}"/>
                  </a:ext>
                </a:extLst>
              </xdr:cNvPr>
              <xdr:cNvCxnSpPr/>
            </xdr:nvCxnSpPr>
            <xdr:spPr>
              <a:xfrm>
                <a:off x="9032319" y="7750216"/>
                <a:ext cx="4346" cy="244612"/>
              </a:xfrm>
              <a:prstGeom prst="straightConnector1">
                <a:avLst/>
              </a:prstGeom>
              <a:ln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52" name="Straight Arrow Connector 251">
                <a:extLst>
                  <a:ext uri="{FF2B5EF4-FFF2-40B4-BE49-F238E27FC236}">
                    <a16:creationId xmlns:a16="http://schemas.microsoft.com/office/drawing/2014/main" id="{00E67CE7-435D-ED39-5963-1A60A49CB3B2}"/>
                  </a:ext>
                </a:extLst>
              </xdr:cNvPr>
              <xdr:cNvCxnSpPr/>
            </xdr:nvCxnSpPr>
            <xdr:spPr>
              <a:xfrm flipH="1">
                <a:off x="8774973" y="7990228"/>
                <a:ext cx="262220" cy="0"/>
              </a:xfrm>
              <a:prstGeom prst="straightConnector1">
                <a:avLst/>
              </a:prstGeom>
              <a:ln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53" name="TextBox 50">
                <a:extLst>
                  <a:ext uri="{FF2B5EF4-FFF2-40B4-BE49-F238E27FC236}">
                    <a16:creationId xmlns:a16="http://schemas.microsoft.com/office/drawing/2014/main" id="{0B7BFB11-6330-03A6-3C78-82AAAA36AA32}"/>
                  </a:ext>
                </a:extLst>
              </xdr:cNvPr>
              <xdr:cNvSpPr txBox="1"/>
            </xdr:nvSpPr>
            <xdr:spPr>
              <a:xfrm>
                <a:off x="8751819" y="7544212"/>
                <a:ext cx="351745" cy="191572"/>
              </a:xfrm>
              <a:prstGeom prst="rect">
                <a:avLst/>
              </a:prstGeom>
              <a:noFill/>
            </xdr:spPr>
            <xdr:txBody>
              <a:bodyPr wrap="square" rtlCol="0" anchor="ctr"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GB" sz="1100" b="1" baseline="0">
                    <a:solidFill>
                      <a:srgbClr val="FF0000"/>
                    </a:solidFill>
                  </a:rPr>
                  <a:t>Oe</a:t>
                </a:r>
                <a:endParaRPr lang="en-GB" sz="1100" b="1" baseline="-25000">
                  <a:solidFill>
                    <a:srgbClr val="FF0000"/>
                  </a:solidFill>
                </a:endParaRPr>
              </a:p>
            </xdr:txBody>
          </xdr:sp>
          <xdr:sp macro="" textlink="">
            <xdr:nvSpPr>
              <xdr:cNvPr id="254" name="Flowchart: Connector 253">
                <a:extLst>
                  <a:ext uri="{FF2B5EF4-FFF2-40B4-BE49-F238E27FC236}">
                    <a16:creationId xmlns:a16="http://schemas.microsoft.com/office/drawing/2014/main" id="{10F8E702-EDD2-6BB8-8351-7711E75CFA39}"/>
                  </a:ext>
                </a:extLst>
              </xdr:cNvPr>
              <xdr:cNvSpPr/>
            </xdr:nvSpPr>
            <xdr:spPr>
              <a:xfrm>
                <a:off x="7719392" y="6344478"/>
                <a:ext cx="2824370" cy="2683565"/>
              </a:xfrm>
              <a:prstGeom prst="flowChartConnector">
                <a:avLst/>
              </a:prstGeom>
              <a:noFill/>
              <a:ln w="19050">
                <a:solidFill>
                  <a:srgbClr val="FF0000"/>
                </a:solidFill>
                <a:prstDash val="dash"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255" name="Flowchart: Connector 254">
                <a:extLst>
                  <a:ext uri="{FF2B5EF4-FFF2-40B4-BE49-F238E27FC236}">
                    <a16:creationId xmlns:a16="http://schemas.microsoft.com/office/drawing/2014/main" id="{79DD072D-67C9-36C9-740C-0BC20B6096E4}"/>
                  </a:ext>
                </a:extLst>
              </xdr:cNvPr>
              <xdr:cNvSpPr/>
            </xdr:nvSpPr>
            <xdr:spPr>
              <a:xfrm>
                <a:off x="5160065" y="6485283"/>
                <a:ext cx="2468218" cy="2385391"/>
              </a:xfrm>
              <a:prstGeom prst="flowChartConnector">
                <a:avLst/>
              </a:prstGeom>
              <a:noFill/>
              <a:ln w="19050">
                <a:solidFill>
                  <a:srgbClr val="FF0000"/>
                </a:solidFill>
                <a:prstDash val="dash"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256" name="TextBox 50">
                <a:extLst>
                  <a:ext uri="{FF2B5EF4-FFF2-40B4-BE49-F238E27FC236}">
                    <a16:creationId xmlns:a16="http://schemas.microsoft.com/office/drawing/2014/main" id="{541AA757-10E4-97B9-0D02-D9C28195297E}"/>
                  </a:ext>
                </a:extLst>
              </xdr:cNvPr>
              <xdr:cNvSpPr txBox="1"/>
            </xdr:nvSpPr>
            <xdr:spPr>
              <a:xfrm>
                <a:off x="8864728" y="7646140"/>
                <a:ext cx="351745" cy="191572"/>
              </a:xfrm>
              <a:prstGeom prst="rect">
                <a:avLst/>
              </a:prstGeom>
              <a:noFill/>
            </xdr:spPr>
            <xdr:txBody>
              <a:bodyPr wrap="square" rtlCol="0" anchor="ctr"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GB" sz="1100" b="1">
                    <a:solidFill>
                      <a:srgbClr val="FF0000"/>
                    </a:solidFill>
                  </a:rPr>
                  <a:t>+</a:t>
                </a:r>
                <a:endParaRPr lang="en-GB" sz="1100" b="1" baseline="-25000">
                  <a:solidFill>
                    <a:srgbClr val="FF0000"/>
                  </a:solidFill>
                </a:endParaRPr>
              </a:p>
            </xdr:txBody>
          </xdr:sp>
          <xdr:sp macro="" textlink="">
            <xdr:nvSpPr>
              <xdr:cNvPr id="257" name="TextBox 50">
                <a:extLst>
                  <a:ext uri="{FF2B5EF4-FFF2-40B4-BE49-F238E27FC236}">
                    <a16:creationId xmlns:a16="http://schemas.microsoft.com/office/drawing/2014/main" id="{F637F3FA-E2C6-D3CC-7DC4-9C6B39846CCA}"/>
                  </a:ext>
                </a:extLst>
              </xdr:cNvPr>
              <xdr:cNvSpPr txBox="1"/>
            </xdr:nvSpPr>
            <xdr:spPr>
              <a:xfrm>
                <a:off x="6104698" y="7530960"/>
                <a:ext cx="351745" cy="191572"/>
              </a:xfrm>
              <a:prstGeom prst="rect">
                <a:avLst/>
              </a:prstGeom>
              <a:noFill/>
            </xdr:spPr>
            <xdr:txBody>
              <a:bodyPr wrap="square" rtlCol="0" anchor="ctr"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GB" sz="1100" b="1" baseline="0">
                    <a:solidFill>
                      <a:srgbClr val="FF0000"/>
                    </a:solidFill>
                  </a:rPr>
                  <a:t>Or</a:t>
                </a:r>
                <a:endParaRPr lang="en-GB" sz="1100" b="1" baseline="-25000">
                  <a:solidFill>
                    <a:srgbClr val="FF0000"/>
                  </a:solidFill>
                </a:endParaRPr>
              </a:p>
            </xdr:txBody>
          </xdr:sp>
          <xdr:sp macro="" textlink="">
            <xdr:nvSpPr>
              <xdr:cNvPr id="258" name="TextBox 50">
                <a:extLst>
                  <a:ext uri="{FF2B5EF4-FFF2-40B4-BE49-F238E27FC236}">
                    <a16:creationId xmlns:a16="http://schemas.microsoft.com/office/drawing/2014/main" id="{24A7F917-F814-B18B-3234-D44B455E63AF}"/>
                  </a:ext>
                </a:extLst>
              </xdr:cNvPr>
              <xdr:cNvSpPr txBox="1"/>
            </xdr:nvSpPr>
            <xdr:spPr>
              <a:xfrm>
                <a:off x="6184476" y="7616323"/>
                <a:ext cx="351745" cy="191572"/>
              </a:xfrm>
              <a:prstGeom prst="rect">
                <a:avLst/>
              </a:prstGeom>
              <a:noFill/>
            </xdr:spPr>
            <xdr:txBody>
              <a:bodyPr wrap="square" rtlCol="0" anchor="ctr"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GB" sz="1100" b="1">
                    <a:solidFill>
                      <a:srgbClr val="FF0000"/>
                    </a:solidFill>
                  </a:rPr>
                  <a:t>+</a:t>
                </a:r>
                <a:endParaRPr lang="en-GB" sz="1100" b="1" baseline="-25000">
                  <a:solidFill>
                    <a:srgbClr val="FF0000"/>
                  </a:solidFill>
                </a:endParaRPr>
              </a:p>
            </xdr:txBody>
          </xdr:sp>
        </xdr:grpSp>
        <xdr:sp macro="" textlink="">
          <xdr:nvSpPr>
            <xdr:cNvPr id="247" name="Rounded Rectangle 291">
              <a:extLst>
                <a:ext uri="{FF2B5EF4-FFF2-40B4-BE49-F238E27FC236}">
                  <a16:creationId xmlns:a16="http://schemas.microsoft.com/office/drawing/2014/main" id="{4637618E-EB3E-5917-1C0D-68C64A39C603}"/>
                </a:ext>
              </a:extLst>
            </xdr:cNvPr>
            <xdr:cNvSpPr/>
          </xdr:nvSpPr>
          <xdr:spPr>
            <a:xfrm>
              <a:off x="1120741" y="10934679"/>
              <a:ext cx="5408544" cy="2691848"/>
            </a:xfrm>
            <a:prstGeom prst="roundRect">
              <a:avLst>
                <a:gd name="adj" fmla="val 50000"/>
              </a:avLst>
            </a:prstGeom>
            <a:solidFill>
              <a:schemeClr val="accent1">
                <a:alpha val="25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</xdr:grpSp>
    <xdr:clientData/>
  </xdr:twoCellAnchor>
  <xdr:oneCellAnchor>
    <xdr:from>
      <xdr:col>13</xdr:col>
      <xdr:colOff>364435</xdr:colOff>
      <xdr:row>55</xdr:row>
      <xdr:rowOff>173934</xdr:rowOff>
    </xdr:from>
    <xdr:ext cx="75418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A840BA6E-880F-9F92-BC16-D2506D84B912}"/>
            </a:ext>
          </a:extLst>
        </xdr:cNvPr>
        <xdr:cNvSpPr txBox="1"/>
      </xdr:nvSpPr>
      <xdr:spPr>
        <a:xfrm>
          <a:off x="10353261" y="12341086"/>
          <a:ext cx="75418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VL53L9CX</a:t>
          </a:r>
        </a:p>
      </xdr:txBody>
    </xdr:sp>
    <xdr:clientData/>
  </xdr:oneCellAnchor>
  <xdr:oneCellAnchor>
    <xdr:from>
      <xdr:col>5</xdr:col>
      <xdr:colOff>61290</xdr:colOff>
      <xdr:row>55</xdr:row>
      <xdr:rowOff>69574</xdr:rowOff>
    </xdr:from>
    <xdr:ext cx="1943101" cy="436786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54AF971A-71D5-42DF-8B0A-1B3DFAA950A0}"/>
            </a:ext>
          </a:extLst>
        </xdr:cNvPr>
        <xdr:cNvSpPr txBox="1"/>
      </xdr:nvSpPr>
      <xdr:spPr>
        <a:xfrm>
          <a:off x="3523420" y="12236726"/>
          <a:ext cx="194310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VL53L5CX / 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VL53L7 / VL53L8</a:t>
          </a:r>
          <a:endParaRPr lang="en-US">
            <a:effectLst/>
          </a:endParaRPr>
        </a:p>
        <a:p>
          <a:endParaRPr lang="en-US" sz="1100" b="1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44</xdr:row>
      <xdr:rowOff>104775</xdr:rowOff>
    </xdr:from>
    <xdr:to>
      <xdr:col>12</xdr:col>
      <xdr:colOff>845384</xdr:colOff>
      <xdr:row>61</xdr:row>
      <xdr:rowOff>138501</xdr:rowOff>
    </xdr:to>
    <xdr:grpSp>
      <xdr:nvGrpSpPr>
        <xdr:cNvPr id="177" name="Group 176">
          <a:extLst>
            <a:ext uri="{FF2B5EF4-FFF2-40B4-BE49-F238E27FC236}">
              <a16:creationId xmlns:a16="http://schemas.microsoft.com/office/drawing/2014/main" id="{00000000-0008-0000-0C00-0000B1000000}"/>
            </a:ext>
          </a:extLst>
        </xdr:cNvPr>
        <xdr:cNvGrpSpPr/>
      </xdr:nvGrpSpPr>
      <xdr:grpSpPr>
        <a:xfrm>
          <a:off x="8324850" y="8639175"/>
          <a:ext cx="3474284" cy="3272226"/>
          <a:chOff x="1985642" y="1575997"/>
          <a:chExt cx="3474284" cy="3272226"/>
        </a:xfrm>
      </xdr:grpSpPr>
      <xdr:grpSp>
        <xdr:nvGrpSpPr>
          <xdr:cNvPr id="178" name="Group 177">
            <a:extLst>
              <a:ext uri="{FF2B5EF4-FFF2-40B4-BE49-F238E27FC236}">
                <a16:creationId xmlns:a16="http://schemas.microsoft.com/office/drawing/2014/main" id="{00000000-0008-0000-0C00-0000B2000000}"/>
              </a:ext>
            </a:extLst>
          </xdr:cNvPr>
          <xdr:cNvGrpSpPr/>
        </xdr:nvGrpSpPr>
        <xdr:grpSpPr>
          <a:xfrm>
            <a:off x="1985642" y="1575997"/>
            <a:ext cx="3474284" cy="3272226"/>
            <a:chOff x="1985642" y="1575997"/>
            <a:chExt cx="3474284" cy="3272226"/>
          </a:xfrm>
        </xdr:grpSpPr>
        <xdr:sp macro="" textlink="">
          <xdr:nvSpPr>
            <xdr:cNvPr id="181" name="Flowchart: Alternate Process 180">
              <a:extLst>
                <a:ext uri="{FF2B5EF4-FFF2-40B4-BE49-F238E27FC236}">
                  <a16:creationId xmlns:a16="http://schemas.microsoft.com/office/drawing/2014/main" id="{00000000-0008-0000-0C00-0000B5000000}"/>
                </a:ext>
              </a:extLst>
            </xdr:cNvPr>
            <xdr:cNvSpPr/>
          </xdr:nvSpPr>
          <xdr:spPr>
            <a:xfrm>
              <a:off x="1985642" y="1575997"/>
              <a:ext cx="3474284" cy="3272226"/>
            </a:xfrm>
            <a:prstGeom prst="flowChartAlternateProcess">
              <a:avLst/>
            </a:prstGeom>
            <a:solidFill>
              <a:schemeClr val="bg1">
                <a:lumMod val="6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GB"/>
            </a:p>
          </xdr:txBody>
        </xdr:sp>
        <xdr:grpSp>
          <xdr:nvGrpSpPr>
            <xdr:cNvPr id="182" name="Group 181">
              <a:extLst>
                <a:ext uri="{FF2B5EF4-FFF2-40B4-BE49-F238E27FC236}">
                  <a16:creationId xmlns:a16="http://schemas.microsoft.com/office/drawing/2014/main" id="{00000000-0008-0000-0C00-0000B6000000}"/>
                </a:ext>
              </a:extLst>
            </xdr:cNvPr>
            <xdr:cNvGrpSpPr/>
          </xdr:nvGrpSpPr>
          <xdr:grpSpPr>
            <a:xfrm>
              <a:off x="2536997" y="2254670"/>
              <a:ext cx="2142358" cy="2093440"/>
              <a:chOff x="2562226" y="2598419"/>
              <a:chExt cx="1793555" cy="1752602"/>
            </a:xfrm>
          </xdr:grpSpPr>
          <xdr:grpSp>
            <xdr:nvGrpSpPr>
              <xdr:cNvPr id="213" name="Group 212">
                <a:extLst>
                  <a:ext uri="{FF2B5EF4-FFF2-40B4-BE49-F238E27FC236}">
                    <a16:creationId xmlns:a16="http://schemas.microsoft.com/office/drawing/2014/main" id="{00000000-0008-0000-0C00-0000D5000000}"/>
                  </a:ext>
                </a:extLst>
              </xdr:cNvPr>
              <xdr:cNvGrpSpPr/>
            </xdr:nvGrpSpPr>
            <xdr:grpSpPr>
              <a:xfrm rot="10800000">
                <a:off x="2562226" y="2598419"/>
                <a:ext cx="1689733" cy="1752602"/>
                <a:chOff x="2590798" y="3124199"/>
                <a:chExt cx="4091725" cy="2819401"/>
              </a:xfrm>
            </xdr:grpSpPr>
            <xdr:cxnSp macro="">
              <xdr:nvCxnSpPr>
                <xdr:cNvPr id="218" name="Straight Connector 217">
                  <a:extLst>
                    <a:ext uri="{FF2B5EF4-FFF2-40B4-BE49-F238E27FC236}">
                      <a16:creationId xmlns:a16="http://schemas.microsoft.com/office/drawing/2014/main" id="{00000000-0008-0000-0C00-0000DA000000}"/>
                    </a:ext>
                  </a:extLst>
                </xdr:cNvPr>
                <xdr:cNvCxnSpPr/>
              </xdr:nvCxnSpPr>
              <xdr:spPr>
                <a:xfrm rot="10800000" flipH="1" flipV="1">
                  <a:off x="3047999" y="3124199"/>
                  <a:ext cx="2971800" cy="381000"/>
                </a:xfrm>
                <a:prstGeom prst="line">
                  <a:avLst/>
                </a:prstGeom>
                <a:ln>
                  <a:solidFill>
                    <a:schemeClr val="bg1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19" name="Straight Connector 218">
                  <a:extLst>
                    <a:ext uri="{FF2B5EF4-FFF2-40B4-BE49-F238E27FC236}">
                      <a16:creationId xmlns:a16="http://schemas.microsoft.com/office/drawing/2014/main" id="{00000000-0008-0000-0C00-0000DB000000}"/>
                    </a:ext>
                  </a:extLst>
                </xdr:cNvPr>
                <xdr:cNvCxnSpPr/>
              </xdr:nvCxnSpPr>
              <xdr:spPr>
                <a:xfrm rot="10800000" flipH="1" flipV="1">
                  <a:off x="6019797" y="3505196"/>
                  <a:ext cx="656960" cy="1826253"/>
                </a:xfrm>
                <a:prstGeom prst="line">
                  <a:avLst/>
                </a:prstGeom>
                <a:ln>
                  <a:solidFill>
                    <a:schemeClr val="bg1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20" name="Straight Connector 219">
                  <a:extLst>
                    <a:ext uri="{FF2B5EF4-FFF2-40B4-BE49-F238E27FC236}">
                      <a16:creationId xmlns:a16="http://schemas.microsoft.com/office/drawing/2014/main" id="{00000000-0008-0000-0C00-0000DC000000}"/>
                    </a:ext>
                  </a:extLst>
                </xdr:cNvPr>
                <xdr:cNvCxnSpPr/>
              </xdr:nvCxnSpPr>
              <xdr:spPr>
                <a:xfrm rot="10800000" flipV="1">
                  <a:off x="2590800" y="5323789"/>
                  <a:ext cx="4091723" cy="619809"/>
                </a:xfrm>
                <a:prstGeom prst="line">
                  <a:avLst/>
                </a:prstGeom>
                <a:ln>
                  <a:solidFill>
                    <a:schemeClr val="bg1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21" name="Straight Connector 220">
                  <a:extLst>
                    <a:ext uri="{FF2B5EF4-FFF2-40B4-BE49-F238E27FC236}">
                      <a16:creationId xmlns:a16="http://schemas.microsoft.com/office/drawing/2014/main" id="{00000000-0008-0000-0C00-0000DD000000}"/>
                    </a:ext>
                  </a:extLst>
                </xdr:cNvPr>
                <xdr:cNvCxnSpPr/>
              </xdr:nvCxnSpPr>
              <xdr:spPr>
                <a:xfrm rot="10800000" flipH="1">
                  <a:off x="2590798" y="3124200"/>
                  <a:ext cx="457199" cy="2819400"/>
                </a:xfrm>
                <a:prstGeom prst="line">
                  <a:avLst/>
                </a:prstGeom>
                <a:ln>
                  <a:solidFill>
                    <a:schemeClr val="bg1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214" name="Rectangle 213">
                <a:extLst>
                  <a:ext uri="{FF2B5EF4-FFF2-40B4-BE49-F238E27FC236}">
                    <a16:creationId xmlns:a16="http://schemas.microsoft.com/office/drawing/2014/main" id="{00000000-0008-0000-0C00-0000D6000000}"/>
                  </a:ext>
                </a:extLst>
              </xdr:cNvPr>
              <xdr:cNvSpPr/>
            </xdr:nvSpPr>
            <xdr:spPr>
              <a:xfrm rot="4634191">
                <a:off x="2861243" y="2614970"/>
                <a:ext cx="981834" cy="1384746"/>
              </a:xfrm>
              <a:prstGeom prst="rect">
                <a:avLst/>
              </a:prstGeom>
              <a:solidFill>
                <a:schemeClr val="bg1">
                  <a:alpha val="27059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sp macro="" textlink="">
            <xdr:nvSpPr>
              <xdr:cNvPr id="215" name="Isosceles Triangle 214">
                <a:extLst>
                  <a:ext uri="{FF2B5EF4-FFF2-40B4-BE49-F238E27FC236}">
                    <a16:creationId xmlns:a16="http://schemas.microsoft.com/office/drawing/2014/main" id="{00000000-0008-0000-0C00-0000D7000000}"/>
                  </a:ext>
                </a:extLst>
              </xdr:cNvPr>
              <xdr:cNvSpPr/>
            </xdr:nvSpPr>
            <xdr:spPr>
              <a:xfrm rot="10106290">
                <a:off x="4014281" y="2629960"/>
                <a:ext cx="341500" cy="988535"/>
              </a:xfrm>
              <a:prstGeom prst="triangle">
                <a:avLst>
                  <a:gd name="adj" fmla="val 94287"/>
                </a:avLst>
              </a:prstGeom>
              <a:solidFill>
                <a:schemeClr val="bg1">
                  <a:alpha val="27059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sp macro="" textlink="">
            <xdr:nvSpPr>
              <xdr:cNvPr id="216" name="Isosceles Triangle 215">
                <a:extLst>
                  <a:ext uri="{FF2B5EF4-FFF2-40B4-BE49-F238E27FC236}">
                    <a16:creationId xmlns:a16="http://schemas.microsoft.com/office/drawing/2014/main" id="{00000000-0008-0000-0C00-0000D8000000}"/>
                  </a:ext>
                </a:extLst>
              </xdr:cNvPr>
              <xdr:cNvSpPr/>
            </xdr:nvSpPr>
            <xdr:spPr>
              <a:xfrm rot="16608172">
                <a:off x="3123051" y="3290692"/>
                <a:ext cx="717795" cy="1247153"/>
              </a:xfrm>
              <a:prstGeom prst="triangle">
                <a:avLst>
                  <a:gd name="adj" fmla="val 11150"/>
                </a:avLst>
              </a:prstGeom>
              <a:solidFill>
                <a:schemeClr val="bg1">
                  <a:alpha val="27059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sp macro="" textlink="">
            <xdr:nvSpPr>
              <xdr:cNvPr id="217" name="Isosceles Triangle 216">
                <a:extLst>
                  <a:ext uri="{FF2B5EF4-FFF2-40B4-BE49-F238E27FC236}">
                    <a16:creationId xmlns:a16="http://schemas.microsoft.com/office/drawing/2014/main" id="{00000000-0008-0000-0C00-0000D9000000}"/>
                  </a:ext>
                </a:extLst>
              </xdr:cNvPr>
              <xdr:cNvSpPr/>
            </xdr:nvSpPr>
            <xdr:spPr>
              <a:xfrm rot="4345476">
                <a:off x="3386313" y="3124511"/>
                <a:ext cx="183805" cy="1384022"/>
              </a:xfrm>
              <a:prstGeom prst="triangle">
                <a:avLst>
                  <a:gd name="adj" fmla="val 63429"/>
                </a:avLst>
              </a:prstGeom>
              <a:solidFill>
                <a:schemeClr val="bg1">
                  <a:alpha val="27059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</xdr:grpSp>
        <xdr:cxnSp macro="">
          <xdr:nvCxnSpPr>
            <xdr:cNvPr id="183" name="Straight Arrow Connector 182">
              <a:extLst>
                <a:ext uri="{FF2B5EF4-FFF2-40B4-BE49-F238E27FC236}">
                  <a16:creationId xmlns:a16="http://schemas.microsoft.com/office/drawing/2014/main" id="{00000000-0008-0000-0C00-0000B7000000}"/>
                </a:ext>
              </a:extLst>
            </xdr:cNvPr>
            <xdr:cNvCxnSpPr>
              <a:endCxn id="215" idx="2"/>
            </xdr:cNvCxnSpPr>
          </xdr:nvCxnSpPr>
          <xdr:spPr>
            <a:xfrm flipV="1">
              <a:off x="2863900" y="2263447"/>
              <a:ext cx="1692987" cy="1793981"/>
            </a:xfrm>
            <a:prstGeom prst="straightConnector1">
              <a:avLst/>
            </a:prstGeom>
            <a:ln>
              <a:solidFill>
                <a:schemeClr val="bg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84" name="TextBox 20">
              <a:extLst>
                <a:ext uri="{FF2B5EF4-FFF2-40B4-BE49-F238E27FC236}">
                  <a16:creationId xmlns:a16="http://schemas.microsoft.com/office/drawing/2014/main" id="{00000000-0008-0000-0C00-0000B8000000}"/>
                </a:ext>
              </a:extLst>
            </xdr:cNvPr>
            <xdr:cNvSpPr txBox="1"/>
          </xdr:nvSpPr>
          <xdr:spPr>
            <a:xfrm>
              <a:off x="2853027" y="2912902"/>
              <a:ext cx="34906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900" b="1">
                  <a:solidFill>
                    <a:schemeClr val="bg1"/>
                  </a:solidFill>
                </a:rPr>
                <a:t>D2</a:t>
              </a:r>
            </a:p>
          </xdr:txBody>
        </xdr:sp>
        <xdr:sp macro="" textlink="">
          <xdr:nvSpPr>
            <xdr:cNvPr id="185" name="TextBox 55">
              <a:extLst>
                <a:ext uri="{FF2B5EF4-FFF2-40B4-BE49-F238E27FC236}">
                  <a16:creationId xmlns:a16="http://schemas.microsoft.com/office/drawing/2014/main" id="{00000000-0008-0000-0C00-0000B9000000}"/>
                </a:ext>
              </a:extLst>
            </xdr:cNvPr>
            <xdr:cNvSpPr txBox="1"/>
          </xdr:nvSpPr>
          <xdr:spPr>
            <a:xfrm>
              <a:off x="3934043" y="2456916"/>
              <a:ext cx="34906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900" b="1">
                  <a:solidFill>
                    <a:schemeClr val="bg1"/>
                  </a:solidFill>
                </a:rPr>
                <a:t>D1</a:t>
              </a:r>
            </a:p>
          </xdr:txBody>
        </xdr:sp>
        <xdr:cxnSp macro="">
          <xdr:nvCxnSpPr>
            <xdr:cNvPr id="186" name="Straight Connector 185">
              <a:extLst>
                <a:ext uri="{FF2B5EF4-FFF2-40B4-BE49-F238E27FC236}">
                  <a16:creationId xmlns:a16="http://schemas.microsoft.com/office/drawing/2014/main" id="{00000000-0008-0000-0C00-0000BA000000}"/>
                </a:ext>
              </a:extLst>
            </xdr:cNvPr>
            <xdr:cNvCxnSpPr/>
          </xdr:nvCxnSpPr>
          <xdr:spPr>
            <a:xfrm flipH="1" flipV="1">
              <a:off x="4327581" y="4346677"/>
              <a:ext cx="69794" cy="69749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87" name="Straight Connector 186">
              <a:extLst>
                <a:ext uri="{FF2B5EF4-FFF2-40B4-BE49-F238E27FC236}">
                  <a16:creationId xmlns:a16="http://schemas.microsoft.com/office/drawing/2014/main" id="{00000000-0008-0000-0C00-0000BB000000}"/>
                </a:ext>
              </a:extLst>
            </xdr:cNvPr>
            <xdr:cNvCxnSpPr/>
          </xdr:nvCxnSpPr>
          <xdr:spPr>
            <a:xfrm>
              <a:off x="2444530" y="2623749"/>
              <a:ext cx="95470" cy="90876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88" name="Straight Arrow Connector 187">
              <a:extLst>
                <a:ext uri="{FF2B5EF4-FFF2-40B4-BE49-F238E27FC236}">
                  <a16:creationId xmlns:a16="http://schemas.microsoft.com/office/drawing/2014/main" id="{00000000-0008-0000-0C00-0000BC000000}"/>
                </a:ext>
              </a:extLst>
            </xdr:cNvPr>
            <xdr:cNvCxnSpPr>
              <a:endCxn id="216" idx="2"/>
            </xdr:cNvCxnSpPr>
          </xdr:nvCxnSpPr>
          <xdr:spPr>
            <a:xfrm>
              <a:off x="2536996" y="2709198"/>
              <a:ext cx="1787410" cy="1631128"/>
            </a:xfrm>
            <a:prstGeom prst="straightConnector1">
              <a:avLst/>
            </a:prstGeom>
            <a:ln>
              <a:solidFill>
                <a:schemeClr val="bg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9" name="Straight Connector 188">
              <a:extLst>
                <a:ext uri="{FF2B5EF4-FFF2-40B4-BE49-F238E27FC236}">
                  <a16:creationId xmlns:a16="http://schemas.microsoft.com/office/drawing/2014/main" id="{00000000-0008-0000-0C00-0000BD000000}"/>
                </a:ext>
              </a:extLst>
            </xdr:cNvPr>
            <xdr:cNvCxnSpPr/>
          </xdr:nvCxnSpPr>
          <xdr:spPr>
            <a:xfrm flipV="1">
              <a:off x="4558000" y="2170114"/>
              <a:ext cx="79087" cy="84016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90" name="Straight Connector 189">
              <a:extLst>
                <a:ext uri="{FF2B5EF4-FFF2-40B4-BE49-F238E27FC236}">
                  <a16:creationId xmlns:a16="http://schemas.microsoft.com/office/drawing/2014/main" id="{00000000-0008-0000-0C00-0000BE000000}"/>
                </a:ext>
              </a:extLst>
            </xdr:cNvPr>
            <xdr:cNvCxnSpPr/>
          </xdr:nvCxnSpPr>
          <xdr:spPr>
            <a:xfrm flipV="1">
              <a:off x="2757488" y="4057651"/>
              <a:ext cx="101020" cy="116681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91" name="Straight Connector 190">
              <a:extLst>
                <a:ext uri="{FF2B5EF4-FFF2-40B4-BE49-F238E27FC236}">
                  <a16:creationId xmlns:a16="http://schemas.microsoft.com/office/drawing/2014/main" id="{00000000-0008-0000-0C00-0000BF000000}"/>
                </a:ext>
              </a:extLst>
            </xdr:cNvPr>
            <xdr:cNvCxnSpPr/>
          </xdr:nvCxnSpPr>
          <xdr:spPr>
            <a:xfrm>
              <a:off x="2444530" y="2623749"/>
              <a:ext cx="312958" cy="1550582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92" name="Straight Connector 191">
              <a:extLst>
                <a:ext uri="{FF2B5EF4-FFF2-40B4-BE49-F238E27FC236}">
                  <a16:creationId xmlns:a16="http://schemas.microsoft.com/office/drawing/2014/main" id="{00000000-0008-0000-0C00-0000C0000000}"/>
                </a:ext>
              </a:extLst>
            </xdr:cNvPr>
            <xdr:cNvCxnSpPr/>
          </xdr:nvCxnSpPr>
          <xdr:spPr>
            <a:xfrm flipV="1">
              <a:off x="2448873" y="2168639"/>
              <a:ext cx="2198934" cy="455111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93" name="Straight Connector 192">
              <a:extLst>
                <a:ext uri="{FF2B5EF4-FFF2-40B4-BE49-F238E27FC236}">
                  <a16:creationId xmlns:a16="http://schemas.microsoft.com/office/drawing/2014/main" id="{00000000-0008-0000-0C00-0000C1000000}"/>
                </a:ext>
              </a:extLst>
            </xdr:cNvPr>
            <xdr:cNvCxnSpPr/>
          </xdr:nvCxnSpPr>
          <xdr:spPr>
            <a:xfrm flipH="1">
              <a:off x="4406902" y="2161377"/>
              <a:ext cx="244475" cy="2271129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94" name="Straight Connector 193">
              <a:extLst>
                <a:ext uri="{FF2B5EF4-FFF2-40B4-BE49-F238E27FC236}">
                  <a16:creationId xmlns:a16="http://schemas.microsoft.com/office/drawing/2014/main" id="{00000000-0008-0000-0C00-0000C2000000}"/>
                </a:ext>
              </a:extLst>
            </xdr:cNvPr>
            <xdr:cNvCxnSpPr/>
          </xdr:nvCxnSpPr>
          <xdr:spPr>
            <a:xfrm flipH="1" flipV="1">
              <a:off x="2757489" y="4174332"/>
              <a:ext cx="1647866" cy="257181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95" name="TextBox 77">
              <a:extLst>
                <a:ext uri="{FF2B5EF4-FFF2-40B4-BE49-F238E27FC236}">
                  <a16:creationId xmlns:a16="http://schemas.microsoft.com/office/drawing/2014/main" id="{00000000-0008-0000-0C00-0000C3000000}"/>
                </a:ext>
              </a:extLst>
            </xdr:cNvPr>
            <xdr:cNvSpPr txBox="1"/>
          </xdr:nvSpPr>
          <xdr:spPr>
            <a:xfrm>
              <a:off x="3257550" y="3502968"/>
              <a:ext cx="34906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900" b="1">
                  <a:solidFill>
                    <a:schemeClr val="bg1"/>
                  </a:solidFill>
                </a:rPr>
                <a:t>H’</a:t>
              </a:r>
            </a:p>
          </xdr:txBody>
        </xdr:sp>
        <xdr:sp macro="" textlink="">
          <xdr:nvSpPr>
            <xdr:cNvPr id="196" name="TextBox 78">
              <a:extLst>
                <a:ext uri="{FF2B5EF4-FFF2-40B4-BE49-F238E27FC236}">
                  <a16:creationId xmlns:a16="http://schemas.microsoft.com/office/drawing/2014/main" id="{00000000-0008-0000-0C00-0000C4000000}"/>
                </a:ext>
              </a:extLst>
            </xdr:cNvPr>
            <xdr:cNvSpPr txBox="1"/>
          </xdr:nvSpPr>
          <xdr:spPr>
            <a:xfrm>
              <a:off x="2567147" y="2670423"/>
              <a:ext cx="349063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700" b="1">
                  <a:solidFill>
                    <a:schemeClr val="bg1"/>
                  </a:solidFill>
                </a:rPr>
                <a:t>B’</a:t>
              </a:r>
            </a:p>
          </xdr:txBody>
        </xdr:sp>
        <xdr:sp macro="" textlink="">
          <xdr:nvSpPr>
            <xdr:cNvPr id="197" name="TextBox 79">
              <a:extLst>
                <a:ext uri="{FF2B5EF4-FFF2-40B4-BE49-F238E27FC236}">
                  <a16:creationId xmlns:a16="http://schemas.microsoft.com/office/drawing/2014/main" id="{00000000-0008-0000-0C00-0000C5000000}"/>
                </a:ext>
              </a:extLst>
            </xdr:cNvPr>
            <xdr:cNvSpPr txBox="1"/>
          </xdr:nvSpPr>
          <xdr:spPr>
            <a:xfrm>
              <a:off x="2238827" y="2466580"/>
              <a:ext cx="349063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700" b="1"/>
                <a:t>B</a:t>
              </a:r>
              <a:r>
                <a:rPr lang="en-GB" sz="700" b="1" baseline="-25000"/>
                <a:t>1</a:t>
              </a:r>
              <a:endParaRPr lang="en-GB" sz="700" b="1"/>
            </a:p>
          </xdr:txBody>
        </xdr:sp>
        <xdr:sp macro="" textlink="">
          <xdr:nvSpPr>
            <xdr:cNvPr id="198" name="TextBox 80">
              <a:extLst>
                <a:ext uri="{FF2B5EF4-FFF2-40B4-BE49-F238E27FC236}">
                  <a16:creationId xmlns:a16="http://schemas.microsoft.com/office/drawing/2014/main" id="{00000000-0008-0000-0C00-0000C6000000}"/>
                </a:ext>
              </a:extLst>
            </xdr:cNvPr>
            <xdr:cNvSpPr txBox="1"/>
          </xdr:nvSpPr>
          <xdr:spPr>
            <a:xfrm>
              <a:off x="4253103" y="2259974"/>
              <a:ext cx="349063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700" b="1">
                  <a:solidFill>
                    <a:schemeClr val="bg1"/>
                  </a:solidFill>
                </a:rPr>
                <a:t>C’</a:t>
              </a:r>
            </a:p>
          </xdr:txBody>
        </xdr:sp>
        <xdr:sp macro="" textlink="">
          <xdr:nvSpPr>
            <xdr:cNvPr id="199" name="TextBox 81">
              <a:extLst>
                <a:ext uri="{FF2B5EF4-FFF2-40B4-BE49-F238E27FC236}">
                  <a16:creationId xmlns:a16="http://schemas.microsoft.com/office/drawing/2014/main" id="{00000000-0008-0000-0C00-0000C7000000}"/>
                </a:ext>
              </a:extLst>
            </xdr:cNvPr>
            <xdr:cNvSpPr txBox="1"/>
          </xdr:nvSpPr>
          <xdr:spPr>
            <a:xfrm>
              <a:off x="4555341" y="2012576"/>
              <a:ext cx="349063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700" b="1"/>
                <a:t>C</a:t>
              </a:r>
              <a:r>
                <a:rPr lang="en-GB" sz="700" b="1" baseline="-25000"/>
                <a:t>1</a:t>
              </a:r>
              <a:endParaRPr lang="en-GB" sz="700" b="1"/>
            </a:p>
          </xdr:txBody>
        </xdr:sp>
        <xdr:sp macro="" textlink="">
          <xdr:nvSpPr>
            <xdr:cNvPr id="200" name="TextBox 82">
              <a:extLst>
                <a:ext uri="{FF2B5EF4-FFF2-40B4-BE49-F238E27FC236}">
                  <a16:creationId xmlns:a16="http://schemas.microsoft.com/office/drawing/2014/main" id="{00000000-0008-0000-0C00-0000C8000000}"/>
                </a:ext>
              </a:extLst>
            </xdr:cNvPr>
            <xdr:cNvSpPr txBox="1"/>
          </xdr:nvSpPr>
          <xdr:spPr>
            <a:xfrm>
              <a:off x="4133960" y="4064801"/>
              <a:ext cx="349063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700" b="1">
                  <a:solidFill>
                    <a:schemeClr val="bg1"/>
                  </a:solidFill>
                </a:rPr>
                <a:t>D’</a:t>
              </a:r>
            </a:p>
          </xdr:txBody>
        </xdr:sp>
        <xdr:sp macro="" textlink="">
          <xdr:nvSpPr>
            <xdr:cNvPr id="201" name="TextBox 83">
              <a:extLst>
                <a:ext uri="{FF2B5EF4-FFF2-40B4-BE49-F238E27FC236}">
                  <a16:creationId xmlns:a16="http://schemas.microsoft.com/office/drawing/2014/main" id="{00000000-0008-0000-0C00-0000C9000000}"/>
                </a:ext>
              </a:extLst>
            </xdr:cNvPr>
            <xdr:cNvSpPr txBox="1"/>
          </xdr:nvSpPr>
          <xdr:spPr>
            <a:xfrm>
              <a:off x="4328392" y="4397107"/>
              <a:ext cx="349063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700" b="1"/>
                <a:t>D</a:t>
              </a:r>
              <a:r>
                <a:rPr lang="en-GB" sz="700" b="1" baseline="-25000"/>
                <a:t>1</a:t>
              </a:r>
              <a:endParaRPr lang="en-GB" sz="700" b="1"/>
            </a:p>
          </xdr:txBody>
        </xdr:sp>
        <xdr:sp macro="" textlink="">
          <xdr:nvSpPr>
            <xdr:cNvPr id="202" name="TextBox 84">
              <a:extLst>
                <a:ext uri="{FF2B5EF4-FFF2-40B4-BE49-F238E27FC236}">
                  <a16:creationId xmlns:a16="http://schemas.microsoft.com/office/drawing/2014/main" id="{00000000-0008-0000-0C00-0000CA000000}"/>
                </a:ext>
              </a:extLst>
            </xdr:cNvPr>
            <xdr:cNvSpPr txBox="1"/>
          </xdr:nvSpPr>
          <xdr:spPr>
            <a:xfrm>
              <a:off x="2901624" y="3902747"/>
              <a:ext cx="349063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700" b="1">
                  <a:solidFill>
                    <a:schemeClr val="bg1"/>
                  </a:solidFill>
                </a:rPr>
                <a:t>A’</a:t>
              </a:r>
            </a:p>
          </xdr:txBody>
        </xdr:sp>
        <xdr:sp macro="" textlink="">
          <xdr:nvSpPr>
            <xdr:cNvPr id="203" name="TextBox 85">
              <a:extLst>
                <a:ext uri="{FF2B5EF4-FFF2-40B4-BE49-F238E27FC236}">
                  <a16:creationId xmlns:a16="http://schemas.microsoft.com/office/drawing/2014/main" id="{00000000-0008-0000-0C00-0000CB000000}"/>
                </a:ext>
              </a:extLst>
            </xdr:cNvPr>
            <xdr:cNvSpPr txBox="1"/>
          </xdr:nvSpPr>
          <xdr:spPr>
            <a:xfrm>
              <a:off x="2580941" y="4167192"/>
              <a:ext cx="349063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700" b="1"/>
                <a:t>A</a:t>
              </a:r>
              <a:r>
                <a:rPr lang="en-GB" sz="700" b="1" baseline="-25000"/>
                <a:t>1</a:t>
              </a:r>
              <a:endParaRPr lang="en-GB" sz="700" b="1"/>
            </a:p>
          </xdr:txBody>
        </xdr:sp>
        <xdr:grpSp>
          <xdr:nvGrpSpPr>
            <xdr:cNvPr id="204" name="Group 203">
              <a:extLst>
                <a:ext uri="{FF2B5EF4-FFF2-40B4-BE49-F238E27FC236}">
                  <a16:creationId xmlns:a16="http://schemas.microsoft.com/office/drawing/2014/main" id="{00000000-0008-0000-0C00-0000CC000000}"/>
                </a:ext>
              </a:extLst>
            </xdr:cNvPr>
            <xdr:cNvGrpSpPr/>
          </xdr:nvGrpSpPr>
          <xdr:grpSpPr>
            <a:xfrm>
              <a:off x="2324711" y="1801213"/>
              <a:ext cx="2796147" cy="2821795"/>
              <a:chOff x="2133600" y="1828800"/>
              <a:chExt cx="3010504" cy="3009600"/>
            </a:xfrm>
          </xdr:grpSpPr>
          <xdr:sp macro="" textlink="">
            <xdr:nvSpPr>
              <xdr:cNvPr id="211" name="Oval 210">
                <a:extLst>
                  <a:ext uri="{FF2B5EF4-FFF2-40B4-BE49-F238E27FC236}">
                    <a16:creationId xmlns:a16="http://schemas.microsoft.com/office/drawing/2014/main" id="{00000000-0008-0000-0C00-0000D3000000}"/>
                  </a:ext>
                </a:extLst>
              </xdr:cNvPr>
              <xdr:cNvSpPr/>
            </xdr:nvSpPr>
            <xdr:spPr>
              <a:xfrm>
                <a:off x="2133600" y="1828800"/>
                <a:ext cx="3010504" cy="3009600"/>
              </a:xfrm>
              <a:prstGeom prst="ellipse">
                <a:avLst/>
              </a:prstGeom>
              <a:noFill/>
              <a:ln>
                <a:solidFill>
                  <a:srgbClr val="FFFF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sp macro="" textlink="">
            <xdr:nvSpPr>
              <xdr:cNvPr id="212" name="Multiply 211">
                <a:extLst>
                  <a:ext uri="{FF2B5EF4-FFF2-40B4-BE49-F238E27FC236}">
                    <a16:creationId xmlns:a16="http://schemas.microsoft.com/office/drawing/2014/main" id="{00000000-0008-0000-0C00-0000D4000000}"/>
                  </a:ext>
                </a:extLst>
              </xdr:cNvPr>
              <xdr:cNvSpPr/>
            </xdr:nvSpPr>
            <xdr:spPr>
              <a:xfrm>
                <a:off x="3417384" y="3121846"/>
                <a:ext cx="371260" cy="350260"/>
              </a:xfrm>
              <a:prstGeom prst="mathMultiply">
                <a:avLst>
                  <a:gd name="adj1" fmla="val 0"/>
                </a:avLst>
              </a:prstGeom>
              <a:ln>
                <a:solidFill>
                  <a:srgbClr val="FFFF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</xdr:grpSp>
        <xdr:cxnSp macro="">
          <xdr:nvCxnSpPr>
            <xdr:cNvPr id="205" name="Straight Arrow Connector 204">
              <a:extLst>
                <a:ext uri="{FF2B5EF4-FFF2-40B4-BE49-F238E27FC236}">
                  <a16:creationId xmlns:a16="http://schemas.microsoft.com/office/drawing/2014/main" id="{00000000-0008-0000-0C00-0000CD000000}"/>
                </a:ext>
              </a:extLst>
            </xdr:cNvPr>
            <xdr:cNvCxnSpPr/>
          </xdr:nvCxnSpPr>
          <xdr:spPr>
            <a:xfrm>
              <a:off x="3398950" y="3495059"/>
              <a:ext cx="1362846" cy="0"/>
            </a:xfrm>
            <a:prstGeom prst="straightConnector1">
              <a:avLst/>
            </a:prstGeom>
            <a:ln>
              <a:solidFill>
                <a:schemeClr val="bg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6" name="Straight Arrow Connector 205">
              <a:extLst>
                <a:ext uri="{FF2B5EF4-FFF2-40B4-BE49-F238E27FC236}">
                  <a16:creationId xmlns:a16="http://schemas.microsoft.com/office/drawing/2014/main" id="{00000000-0008-0000-0C00-0000CE000000}"/>
                </a:ext>
              </a:extLst>
            </xdr:cNvPr>
            <xdr:cNvCxnSpPr/>
          </xdr:nvCxnSpPr>
          <xdr:spPr>
            <a:xfrm flipV="1">
              <a:off x="3398950" y="2161378"/>
              <a:ext cx="0" cy="1340647"/>
            </a:xfrm>
            <a:prstGeom prst="straightConnector1">
              <a:avLst/>
            </a:prstGeom>
            <a:ln>
              <a:solidFill>
                <a:schemeClr val="bg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07" name="TextBox 44">
              <a:extLst>
                <a:ext uri="{FF2B5EF4-FFF2-40B4-BE49-F238E27FC236}">
                  <a16:creationId xmlns:a16="http://schemas.microsoft.com/office/drawing/2014/main" id="{00000000-0008-0000-0C00-0000CF000000}"/>
                </a:ext>
              </a:extLst>
            </xdr:cNvPr>
            <xdr:cNvSpPr txBox="1"/>
          </xdr:nvSpPr>
          <xdr:spPr>
            <a:xfrm>
              <a:off x="3429037" y="2038982"/>
              <a:ext cx="349063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700" b="1">
                  <a:solidFill>
                    <a:schemeClr val="bg1"/>
                  </a:solidFill>
                </a:rPr>
                <a:t>y</a:t>
              </a:r>
            </a:p>
          </xdr:txBody>
        </xdr:sp>
        <xdr:sp macro="" textlink="">
          <xdr:nvSpPr>
            <xdr:cNvPr id="208" name="TextBox 45">
              <a:extLst>
                <a:ext uri="{FF2B5EF4-FFF2-40B4-BE49-F238E27FC236}">
                  <a16:creationId xmlns:a16="http://schemas.microsoft.com/office/drawing/2014/main" id="{00000000-0008-0000-0C00-0000D0000000}"/>
                </a:ext>
              </a:extLst>
            </xdr:cNvPr>
            <xdr:cNvSpPr txBox="1"/>
          </xdr:nvSpPr>
          <xdr:spPr>
            <a:xfrm>
              <a:off x="4602847" y="3273082"/>
              <a:ext cx="349063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700" b="1">
                  <a:solidFill>
                    <a:schemeClr val="bg1"/>
                  </a:solidFill>
                </a:rPr>
                <a:t>x</a:t>
              </a:r>
            </a:p>
          </xdr:txBody>
        </xdr:sp>
        <xdr:sp macro="" textlink="">
          <xdr:nvSpPr>
            <xdr:cNvPr id="209" name="TextBox 50">
              <a:extLst>
                <a:ext uri="{FF2B5EF4-FFF2-40B4-BE49-F238E27FC236}">
                  <a16:creationId xmlns:a16="http://schemas.microsoft.com/office/drawing/2014/main" id="{00000000-0008-0000-0C00-0000D1000000}"/>
                </a:ext>
              </a:extLst>
            </xdr:cNvPr>
            <xdr:cNvSpPr txBox="1"/>
          </xdr:nvSpPr>
          <xdr:spPr>
            <a:xfrm>
              <a:off x="3678689" y="3249084"/>
              <a:ext cx="349063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700" b="1"/>
                <a:t>y</a:t>
              </a:r>
              <a:r>
                <a:rPr lang="en-GB" sz="700" b="1" baseline="-25000"/>
                <a:t>c</a:t>
              </a:r>
            </a:p>
          </xdr:txBody>
        </xdr:sp>
        <xdr:sp macro="" textlink="">
          <xdr:nvSpPr>
            <xdr:cNvPr id="210" name="TextBox 51">
              <a:extLst>
                <a:ext uri="{FF2B5EF4-FFF2-40B4-BE49-F238E27FC236}">
                  <a16:creationId xmlns:a16="http://schemas.microsoft.com/office/drawing/2014/main" id="{00000000-0008-0000-0C00-0000D2000000}"/>
                </a:ext>
              </a:extLst>
            </xdr:cNvPr>
            <xdr:cNvSpPr txBox="1"/>
          </xdr:nvSpPr>
          <xdr:spPr>
            <a:xfrm>
              <a:off x="3403405" y="2945894"/>
              <a:ext cx="349063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700" b="1"/>
                <a:t>x</a:t>
              </a:r>
              <a:r>
                <a:rPr lang="en-GB" sz="700" b="1" baseline="-25000"/>
                <a:t>c</a:t>
              </a:r>
            </a:p>
          </xdr:txBody>
        </xdr:sp>
      </xdr:grpSp>
      <xdr:cxnSp macro="">
        <xdr:nvCxnSpPr>
          <xdr:cNvPr id="179" name="Straight Arrow Connector 178">
            <a:extLst>
              <a:ext uri="{FF2B5EF4-FFF2-40B4-BE49-F238E27FC236}">
                <a16:creationId xmlns:a16="http://schemas.microsoft.com/office/drawing/2014/main" id="{00000000-0008-0000-0C00-0000B3000000}"/>
              </a:ext>
            </a:extLst>
          </xdr:cNvPr>
          <xdr:cNvCxnSpPr/>
        </xdr:nvCxnSpPr>
        <xdr:spPr>
          <a:xfrm>
            <a:off x="3689498" y="3177771"/>
            <a:ext cx="0" cy="317288"/>
          </a:xfrm>
          <a:prstGeom prst="straightConnector1">
            <a:avLst/>
          </a:prstGeom>
          <a:ln>
            <a:solidFill>
              <a:schemeClr val="tx1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0" name="Straight Arrow Connector 179">
            <a:extLst>
              <a:ext uri="{FF2B5EF4-FFF2-40B4-BE49-F238E27FC236}">
                <a16:creationId xmlns:a16="http://schemas.microsoft.com/office/drawing/2014/main" id="{00000000-0008-0000-0C00-0000B4000000}"/>
              </a:ext>
            </a:extLst>
          </xdr:cNvPr>
          <xdr:cNvCxnSpPr/>
        </xdr:nvCxnSpPr>
        <xdr:spPr>
          <a:xfrm flipH="1">
            <a:off x="3398950" y="3177771"/>
            <a:ext cx="290548" cy="0"/>
          </a:xfrm>
          <a:prstGeom prst="straightConnector1">
            <a:avLst/>
          </a:prstGeom>
          <a:ln>
            <a:solidFill>
              <a:schemeClr val="tx1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279008</xdr:colOff>
      <xdr:row>43</xdr:row>
      <xdr:rowOff>133350</xdr:rowOff>
    </xdr:from>
    <xdr:to>
      <xdr:col>14</xdr:col>
      <xdr:colOff>926420</xdr:colOff>
      <xdr:row>45</xdr:row>
      <xdr:rowOff>9111</xdr:rowOff>
    </xdr:to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C00-00005B000000}"/>
            </a:ext>
          </a:extLst>
        </xdr:cNvPr>
        <xdr:cNvSpPr txBox="1"/>
      </xdr:nvSpPr>
      <xdr:spPr>
        <a:xfrm>
          <a:off x="9175358" y="7334250"/>
          <a:ext cx="647412" cy="256761"/>
        </a:xfrm>
        <a:prstGeom prst="roundRect">
          <a:avLst>
            <a:gd name="adj" fmla="val 32796"/>
          </a:avLst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n-GB" sz="1100" b="1">
              <a:solidFill>
                <a:schemeClr val="dk1"/>
              </a:solidFill>
              <a:latin typeface="+mn-lt"/>
              <a:ea typeface="+mn-ea"/>
              <a:cs typeface="+mn-cs"/>
            </a:rPr>
            <a:t>FIG 2</a:t>
          </a:r>
        </a:p>
      </xdr:txBody>
    </xdr:sp>
    <xdr:clientData/>
  </xdr:twoCellAnchor>
  <xdr:twoCellAnchor>
    <xdr:from>
      <xdr:col>18</xdr:col>
      <xdr:colOff>111131</xdr:colOff>
      <xdr:row>55</xdr:row>
      <xdr:rowOff>67006</xdr:rowOff>
    </xdr:from>
    <xdr:to>
      <xdr:col>18</xdr:col>
      <xdr:colOff>532894</xdr:colOff>
      <xdr:row>56</xdr:row>
      <xdr:rowOff>109711</xdr:rowOff>
    </xdr:to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C00-00005F000000}"/>
            </a:ext>
          </a:extLst>
        </xdr:cNvPr>
        <xdr:cNvSpPr txBox="1"/>
      </xdr:nvSpPr>
      <xdr:spPr>
        <a:xfrm>
          <a:off x="11874506" y="9553906"/>
          <a:ext cx="421763" cy="23320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solidFill>
                <a:schemeClr val="bg1"/>
              </a:solidFill>
            </a:rPr>
            <a:t>x</a:t>
          </a:r>
        </a:p>
      </xdr:txBody>
    </xdr:sp>
    <xdr:clientData/>
  </xdr:twoCellAnchor>
  <xdr:twoCellAnchor>
    <xdr:from>
      <xdr:col>13</xdr:col>
      <xdr:colOff>477505</xdr:colOff>
      <xdr:row>42</xdr:row>
      <xdr:rowOff>141916</xdr:rowOff>
    </xdr:from>
    <xdr:to>
      <xdr:col>18</xdr:col>
      <xdr:colOff>289148</xdr:colOff>
      <xdr:row>73</xdr:row>
      <xdr:rowOff>134001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12336130" y="8295316"/>
          <a:ext cx="3516868" cy="5897585"/>
          <a:chOff x="12893623" y="8355828"/>
          <a:chExt cx="3509584" cy="5897585"/>
        </a:xfrm>
      </xdr:grpSpPr>
      <xdr:grpSp>
        <xdr:nvGrpSpPr>
          <xdr:cNvPr id="81" name="Group 80">
            <a:extLst>
              <a:ext uri="{FF2B5EF4-FFF2-40B4-BE49-F238E27FC236}">
                <a16:creationId xmlns:a16="http://schemas.microsoft.com/office/drawing/2014/main" id="{00000000-0008-0000-0C00-000051000000}"/>
              </a:ext>
            </a:extLst>
          </xdr:cNvPr>
          <xdr:cNvGrpSpPr/>
        </xdr:nvGrpSpPr>
        <xdr:grpSpPr>
          <a:xfrm rot="16200000">
            <a:off x="11699622" y="9549829"/>
            <a:ext cx="5897585" cy="3509584"/>
            <a:chOff x="632942" y="2090676"/>
            <a:chExt cx="7984802" cy="3697132"/>
          </a:xfrm>
        </xdr:grpSpPr>
        <xdr:grpSp>
          <xdr:nvGrpSpPr>
            <xdr:cNvPr id="82" name="Group 81">
              <a:extLst>
                <a:ext uri="{FF2B5EF4-FFF2-40B4-BE49-F238E27FC236}">
                  <a16:creationId xmlns:a16="http://schemas.microsoft.com/office/drawing/2014/main" id="{00000000-0008-0000-0C00-000052000000}"/>
                </a:ext>
              </a:extLst>
            </xdr:cNvPr>
            <xdr:cNvGrpSpPr/>
          </xdr:nvGrpSpPr>
          <xdr:grpSpPr>
            <a:xfrm>
              <a:off x="632942" y="2090676"/>
              <a:ext cx="7984802" cy="3697132"/>
              <a:chOff x="0" y="0"/>
              <a:chExt cx="7944243" cy="4498664"/>
            </a:xfrm>
          </xdr:grpSpPr>
          <xdr:pic>
            <xdr:nvPicPr>
              <xdr:cNvPr id="85" name="Picture 84">
                <a:extLst>
                  <a:ext uri="{FF2B5EF4-FFF2-40B4-BE49-F238E27FC236}">
                    <a16:creationId xmlns:a16="http://schemas.microsoft.com/office/drawing/2014/main" id="{00000000-0008-0000-0C00-000055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/>
              <a:stretch>
                <a:fillRect/>
              </a:stretch>
            </xdr:blipFill>
            <xdr:spPr>
              <a:xfrm>
                <a:off x="0" y="0"/>
                <a:ext cx="7944243" cy="4498664"/>
              </a:xfrm>
              <a:prstGeom prst="rect">
                <a:avLst/>
              </a:prstGeom>
            </xdr:spPr>
          </xdr:pic>
          <xdr:cxnSp macro="">
            <xdr:nvCxnSpPr>
              <xdr:cNvPr id="86" name="Straight Arrow Connector 85">
                <a:extLst>
                  <a:ext uri="{FF2B5EF4-FFF2-40B4-BE49-F238E27FC236}">
                    <a16:creationId xmlns:a16="http://schemas.microsoft.com/office/drawing/2014/main" id="{00000000-0008-0000-0C00-000056000000}"/>
                  </a:ext>
                </a:extLst>
              </xdr:cNvPr>
              <xdr:cNvCxnSpPr/>
            </xdr:nvCxnSpPr>
            <xdr:spPr>
              <a:xfrm>
                <a:off x="2247340" y="606238"/>
                <a:ext cx="4697506" cy="2990290"/>
              </a:xfrm>
              <a:prstGeom prst="straightConnector1">
                <a:avLst/>
              </a:prstGeom>
              <a:ln w="19050">
                <a:solidFill>
                  <a:schemeClr val="bg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7" name="TextBox 3">
                <a:extLst>
                  <a:ext uri="{FF2B5EF4-FFF2-40B4-BE49-F238E27FC236}">
                    <a16:creationId xmlns:a16="http://schemas.microsoft.com/office/drawing/2014/main" id="{00000000-0008-0000-0C00-000057000000}"/>
                  </a:ext>
                </a:extLst>
              </xdr:cNvPr>
              <xdr:cNvSpPr txBox="1"/>
            </xdr:nvSpPr>
            <xdr:spPr>
              <a:xfrm>
                <a:off x="3410509" y="1131235"/>
                <a:ext cx="494425" cy="33617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1100" b="1">
                    <a:solidFill>
                      <a:schemeClr val="bg1"/>
                    </a:solidFill>
                  </a:rPr>
                  <a:t>D2</a:t>
                </a:r>
              </a:p>
            </xdr:txBody>
          </xdr:sp>
          <xdr:sp macro="" textlink="">
            <xdr:nvSpPr>
              <xdr:cNvPr id="88" name="TextBox 39">
                <a:extLst>
                  <a:ext uri="{FF2B5EF4-FFF2-40B4-BE49-F238E27FC236}">
                    <a16:creationId xmlns:a16="http://schemas.microsoft.com/office/drawing/2014/main" id="{00000000-0008-0000-0C00-000058000000}"/>
                  </a:ext>
                </a:extLst>
              </xdr:cNvPr>
              <xdr:cNvSpPr txBox="1"/>
            </xdr:nvSpPr>
            <xdr:spPr>
              <a:xfrm>
                <a:off x="2688849" y="3047441"/>
                <a:ext cx="568981" cy="33617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1200" b="1">
                    <a:solidFill>
                      <a:schemeClr val="bg1"/>
                    </a:solidFill>
                  </a:rPr>
                  <a:t>D1</a:t>
                </a:r>
              </a:p>
            </xdr:txBody>
          </xdr:sp>
          <xdr:cxnSp macro="">
            <xdr:nvCxnSpPr>
              <xdr:cNvPr id="89" name="Straight Arrow Connector 88">
                <a:extLst>
                  <a:ext uri="{FF2B5EF4-FFF2-40B4-BE49-F238E27FC236}">
                    <a16:creationId xmlns:a16="http://schemas.microsoft.com/office/drawing/2014/main" id="{00000000-0008-0000-0C00-000059000000}"/>
                  </a:ext>
                </a:extLst>
              </xdr:cNvPr>
              <xdr:cNvCxnSpPr/>
            </xdr:nvCxnSpPr>
            <xdr:spPr>
              <a:xfrm flipV="1">
                <a:off x="804022" y="963145"/>
                <a:ext cx="5347447" cy="3361766"/>
              </a:xfrm>
              <a:prstGeom prst="straightConnector1">
                <a:avLst/>
              </a:prstGeom>
              <a:ln w="19050">
                <a:solidFill>
                  <a:schemeClr val="bg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83" name="Arc 82">
              <a:extLst>
                <a:ext uri="{FF2B5EF4-FFF2-40B4-BE49-F238E27FC236}">
                  <a16:creationId xmlns:a16="http://schemas.microsoft.com/office/drawing/2014/main" id="{00000000-0008-0000-0C00-000053000000}"/>
                </a:ext>
              </a:extLst>
            </xdr:cNvPr>
            <xdr:cNvSpPr/>
          </xdr:nvSpPr>
          <xdr:spPr>
            <a:xfrm rot="3078182">
              <a:off x="5653569" y="3301633"/>
              <a:ext cx="533400" cy="609600"/>
            </a:xfrm>
            <a:prstGeom prst="arc">
              <a:avLst>
                <a:gd name="adj1" fmla="val 14233661"/>
                <a:gd name="adj2" fmla="val 20291348"/>
              </a:avLst>
            </a:prstGeom>
            <a:ln>
              <a:headEnd type="triangle" w="med" len="med"/>
              <a:tailEnd type="triangle" w="med" len="med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GB"/>
            </a:p>
          </xdr:txBody>
        </xdr:sp>
        <xdr:sp macro="" textlink="">
          <xdr:nvSpPr>
            <xdr:cNvPr id="84" name="TextBox 11">
              <a:extLst>
                <a:ext uri="{FF2B5EF4-FFF2-40B4-BE49-F238E27FC236}">
                  <a16:creationId xmlns:a16="http://schemas.microsoft.com/office/drawing/2014/main" id="{00000000-0008-0000-0C00-000054000000}"/>
                </a:ext>
              </a:extLst>
            </xdr:cNvPr>
            <xdr:cNvSpPr txBox="1"/>
          </xdr:nvSpPr>
          <xdr:spPr>
            <a:xfrm>
              <a:off x="6170332" y="3299460"/>
              <a:ext cx="522797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400" b="1">
                  <a:sym typeface="Symbol" panose="05050102010706020507" pitchFamily="18" charset="2"/>
                </a:rPr>
                <a:t></a:t>
              </a:r>
              <a:endParaRPr lang="en-GB" sz="1400" b="1" baseline="-25000"/>
            </a:p>
          </xdr:txBody>
        </xdr:sp>
      </xdr:grpSp>
      <xdr:cxnSp macro="">
        <xdr:nvCxnSpPr>
          <xdr:cNvPr id="93" name="Straight Arrow Connector 92">
            <a:extLst>
              <a:ext uri="{FF2B5EF4-FFF2-40B4-BE49-F238E27FC236}">
                <a16:creationId xmlns:a16="http://schemas.microsoft.com/office/drawing/2014/main" id="{00000000-0008-0000-0C00-00005D000000}"/>
              </a:ext>
            </a:extLst>
          </xdr:cNvPr>
          <xdr:cNvCxnSpPr/>
        </xdr:nvCxnSpPr>
        <xdr:spPr>
          <a:xfrm>
            <a:off x="14482890" y="10933827"/>
            <a:ext cx="1868569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4" name="Straight Arrow Connector 93">
            <a:extLst>
              <a:ext uri="{FF2B5EF4-FFF2-40B4-BE49-F238E27FC236}">
                <a16:creationId xmlns:a16="http://schemas.microsoft.com/office/drawing/2014/main" id="{00000000-0008-0000-0C00-00005E000000}"/>
              </a:ext>
            </a:extLst>
          </xdr:cNvPr>
          <xdr:cNvCxnSpPr/>
        </xdr:nvCxnSpPr>
        <xdr:spPr>
          <a:xfrm flipV="1">
            <a:off x="14482890" y="9600146"/>
            <a:ext cx="0" cy="1340647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6" name="TextBox 95">
            <a:extLst>
              <a:ext uri="{FF2B5EF4-FFF2-40B4-BE49-F238E27FC236}">
                <a16:creationId xmlns:a16="http://schemas.microsoft.com/office/drawing/2014/main" id="{00000000-0008-0000-0C00-000060000000}"/>
              </a:ext>
            </a:extLst>
          </xdr:cNvPr>
          <xdr:cNvSpPr txBox="1"/>
        </xdr:nvSpPr>
        <xdr:spPr>
          <a:xfrm>
            <a:off x="14429804" y="9441749"/>
            <a:ext cx="652604" cy="233205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900" b="1">
                <a:solidFill>
                  <a:schemeClr val="bg1"/>
                </a:solidFill>
              </a:rPr>
              <a:t>y</a:t>
            </a:r>
          </a:p>
        </xdr:txBody>
      </xdr:sp>
    </xdr:grpSp>
    <xdr:clientData/>
  </xdr:twoCellAnchor>
  <xdr:twoCellAnchor>
    <xdr:from>
      <xdr:col>9</xdr:col>
      <xdr:colOff>179251</xdr:colOff>
      <xdr:row>45</xdr:row>
      <xdr:rowOff>89866</xdr:rowOff>
    </xdr:from>
    <xdr:to>
      <xdr:col>10</xdr:col>
      <xdr:colOff>207103</xdr:colOff>
      <xdr:row>46</xdr:row>
      <xdr:rowOff>156127</xdr:rowOff>
    </xdr:to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C00-00005C000000}"/>
            </a:ext>
          </a:extLst>
        </xdr:cNvPr>
        <xdr:cNvSpPr txBox="1"/>
      </xdr:nvSpPr>
      <xdr:spPr>
        <a:xfrm>
          <a:off x="5227501" y="8052766"/>
          <a:ext cx="637452" cy="256761"/>
        </a:xfrm>
        <a:prstGeom prst="round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 b="1"/>
            <a:t>FIG 1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477371</xdr:colOff>
      <xdr:row>2</xdr:row>
      <xdr:rowOff>60512</xdr:rowOff>
    </xdr:from>
    <xdr:to>
      <xdr:col>22</xdr:col>
      <xdr:colOff>433372</xdr:colOff>
      <xdr:row>25</xdr:row>
      <xdr:rowOff>22412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11012021" y="441512"/>
          <a:ext cx="4832801" cy="4343400"/>
          <a:chOff x="20069174" y="6553200"/>
          <a:chExt cx="4797619" cy="4343400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GrpSpPr/>
        </xdr:nvGrpSpPr>
        <xdr:grpSpPr>
          <a:xfrm>
            <a:off x="20069174" y="6553200"/>
            <a:ext cx="4797619" cy="4343400"/>
            <a:chOff x="1985642" y="1575997"/>
            <a:chExt cx="3474284" cy="3272226"/>
          </a:xfrm>
        </xdr:grpSpPr>
        <xdr:sp macro="" textlink="">
          <xdr:nvSpPr>
            <xdr:cNvPr id="5" name="Flowchart: Alternate Process 4">
              <a:extLst>
                <a:ext uri="{FF2B5EF4-FFF2-40B4-BE49-F238E27FC236}">
                  <a16:creationId xmlns:a16="http://schemas.microsoft.com/office/drawing/2014/main" id="{00000000-0008-0000-0D00-000005000000}"/>
                </a:ext>
              </a:extLst>
            </xdr:cNvPr>
            <xdr:cNvSpPr/>
          </xdr:nvSpPr>
          <xdr:spPr>
            <a:xfrm>
              <a:off x="1985642" y="1575997"/>
              <a:ext cx="3474284" cy="3272226"/>
            </a:xfrm>
            <a:prstGeom prst="flowChartAlternateProcess">
              <a:avLst/>
            </a:prstGeom>
            <a:solidFill>
              <a:schemeClr val="bg1">
                <a:lumMod val="6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GB" sz="3600"/>
            </a:p>
          </xdr:txBody>
        </xdr:sp>
        <xdr:grpSp>
          <xdr:nvGrpSpPr>
            <xdr:cNvPr id="6" name="Group 5">
              <a:extLst>
                <a:ext uri="{FF2B5EF4-FFF2-40B4-BE49-F238E27FC236}">
                  <a16:creationId xmlns:a16="http://schemas.microsoft.com/office/drawing/2014/main" id="{00000000-0008-0000-0D00-000006000000}"/>
                </a:ext>
              </a:extLst>
            </xdr:cNvPr>
            <xdr:cNvGrpSpPr/>
          </xdr:nvGrpSpPr>
          <xdr:grpSpPr>
            <a:xfrm>
              <a:off x="2536997" y="2254670"/>
              <a:ext cx="2142358" cy="2093440"/>
              <a:chOff x="2562226" y="2598419"/>
              <a:chExt cx="1793555" cy="1752602"/>
            </a:xfrm>
          </xdr:grpSpPr>
          <xdr:grpSp>
            <xdr:nvGrpSpPr>
              <xdr:cNvPr id="32" name="Group 31">
                <a:extLst>
                  <a:ext uri="{FF2B5EF4-FFF2-40B4-BE49-F238E27FC236}">
                    <a16:creationId xmlns:a16="http://schemas.microsoft.com/office/drawing/2014/main" id="{00000000-0008-0000-0D00-000020000000}"/>
                  </a:ext>
                </a:extLst>
              </xdr:cNvPr>
              <xdr:cNvGrpSpPr/>
            </xdr:nvGrpSpPr>
            <xdr:grpSpPr>
              <a:xfrm rot="10800000">
                <a:off x="2562226" y="2598419"/>
                <a:ext cx="1689733" cy="1752602"/>
                <a:chOff x="2590798" y="3124199"/>
                <a:chExt cx="4091725" cy="2819401"/>
              </a:xfrm>
            </xdr:grpSpPr>
            <xdr:cxnSp macro="">
              <xdr:nvCxnSpPr>
                <xdr:cNvPr id="37" name="Straight Connector 36">
                  <a:extLst>
                    <a:ext uri="{FF2B5EF4-FFF2-40B4-BE49-F238E27FC236}">
                      <a16:creationId xmlns:a16="http://schemas.microsoft.com/office/drawing/2014/main" id="{00000000-0008-0000-0D00-000025000000}"/>
                    </a:ext>
                  </a:extLst>
                </xdr:cNvPr>
                <xdr:cNvCxnSpPr/>
              </xdr:nvCxnSpPr>
              <xdr:spPr>
                <a:xfrm rot="10800000" flipH="1" flipV="1">
                  <a:off x="3047999" y="3124199"/>
                  <a:ext cx="2971800" cy="381000"/>
                </a:xfrm>
                <a:prstGeom prst="line">
                  <a:avLst/>
                </a:prstGeom>
                <a:ln>
                  <a:solidFill>
                    <a:schemeClr val="bg1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38" name="Straight Connector 37">
                  <a:extLst>
                    <a:ext uri="{FF2B5EF4-FFF2-40B4-BE49-F238E27FC236}">
                      <a16:creationId xmlns:a16="http://schemas.microsoft.com/office/drawing/2014/main" id="{00000000-0008-0000-0D00-000026000000}"/>
                    </a:ext>
                  </a:extLst>
                </xdr:cNvPr>
                <xdr:cNvCxnSpPr/>
              </xdr:nvCxnSpPr>
              <xdr:spPr>
                <a:xfrm rot="10800000" flipH="1" flipV="1">
                  <a:off x="6019797" y="3505196"/>
                  <a:ext cx="656960" cy="1826253"/>
                </a:xfrm>
                <a:prstGeom prst="line">
                  <a:avLst/>
                </a:prstGeom>
                <a:ln>
                  <a:solidFill>
                    <a:schemeClr val="bg1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39" name="Straight Connector 38">
                  <a:extLst>
                    <a:ext uri="{FF2B5EF4-FFF2-40B4-BE49-F238E27FC236}">
                      <a16:creationId xmlns:a16="http://schemas.microsoft.com/office/drawing/2014/main" id="{00000000-0008-0000-0D00-000027000000}"/>
                    </a:ext>
                  </a:extLst>
                </xdr:cNvPr>
                <xdr:cNvCxnSpPr/>
              </xdr:nvCxnSpPr>
              <xdr:spPr>
                <a:xfrm rot="10800000" flipV="1">
                  <a:off x="2590800" y="5323789"/>
                  <a:ext cx="4091723" cy="619809"/>
                </a:xfrm>
                <a:prstGeom prst="line">
                  <a:avLst/>
                </a:prstGeom>
                <a:ln>
                  <a:solidFill>
                    <a:schemeClr val="bg1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40" name="Straight Connector 39">
                  <a:extLst>
                    <a:ext uri="{FF2B5EF4-FFF2-40B4-BE49-F238E27FC236}">
                      <a16:creationId xmlns:a16="http://schemas.microsoft.com/office/drawing/2014/main" id="{00000000-0008-0000-0D00-000028000000}"/>
                    </a:ext>
                  </a:extLst>
                </xdr:cNvPr>
                <xdr:cNvCxnSpPr/>
              </xdr:nvCxnSpPr>
              <xdr:spPr>
                <a:xfrm rot="10800000" flipH="1">
                  <a:off x="2590798" y="3124200"/>
                  <a:ext cx="457199" cy="2819400"/>
                </a:xfrm>
                <a:prstGeom prst="line">
                  <a:avLst/>
                </a:prstGeom>
                <a:ln>
                  <a:solidFill>
                    <a:schemeClr val="bg1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33" name="Rectangle 32">
                <a:extLst>
                  <a:ext uri="{FF2B5EF4-FFF2-40B4-BE49-F238E27FC236}">
                    <a16:creationId xmlns:a16="http://schemas.microsoft.com/office/drawing/2014/main" id="{00000000-0008-0000-0D00-000021000000}"/>
                  </a:ext>
                </a:extLst>
              </xdr:cNvPr>
              <xdr:cNvSpPr/>
            </xdr:nvSpPr>
            <xdr:spPr>
              <a:xfrm rot="4634191">
                <a:off x="2861243" y="2614970"/>
                <a:ext cx="981834" cy="1384746"/>
              </a:xfrm>
              <a:prstGeom prst="rect">
                <a:avLst/>
              </a:prstGeom>
              <a:solidFill>
                <a:schemeClr val="bg1">
                  <a:alpha val="27059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 sz="3600"/>
              </a:p>
            </xdr:txBody>
          </xdr:sp>
          <xdr:sp macro="" textlink="">
            <xdr:nvSpPr>
              <xdr:cNvPr id="34" name="Isosceles Triangle 33">
                <a:extLst>
                  <a:ext uri="{FF2B5EF4-FFF2-40B4-BE49-F238E27FC236}">
                    <a16:creationId xmlns:a16="http://schemas.microsoft.com/office/drawing/2014/main" id="{00000000-0008-0000-0D00-000022000000}"/>
                  </a:ext>
                </a:extLst>
              </xdr:cNvPr>
              <xdr:cNvSpPr/>
            </xdr:nvSpPr>
            <xdr:spPr>
              <a:xfrm rot="10106290">
                <a:off x="4014281" y="2629960"/>
                <a:ext cx="341500" cy="988535"/>
              </a:xfrm>
              <a:prstGeom prst="triangle">
                <a:avLst>
                  <a:gd name="adj" fmla="val 94287"/>
                </a:avLst>
              </a:prstGeom>
              <a:solidFill>
                <a:schemeClr val="bg1">
                  <a:alpha val="27059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 sz="3600"/>
              </a:p>
            </xdr:txBody>
          </xdr:sp>
          <xdr:sp macro="" textlink="">
            <xdr:nvSpPr>
              <xdr:cNvPr id="35" name="Isosceles Triangle 34">
                <a:extLst>
                  <a:ext uri="{FF2B5EF4-FFF2-40B4-BE49-F238E27FC236}">
                    <a16:creationId xmlns:a16="http://schemas.microsoft.com/office/drawing/2014/main" id="{00000000-0008-0000-0D00-000023000000}"/>
                  </a:ext>
                </a:extLst>
              </xdr:cNvPr>
              <xdr:cNvSpPr/>
            </xdr:nvSpPr>
            <xdr:spPr>
              <a:xfrm rot="16608172">
                <a:off x="3123051" y="3290692"/>
                <a:ext cx="717795" cy="1247153"/>
              </a:xfrm>
              <a:prstGeom prst="triangle">
                <a:avLst>
                  <a:gd name="adj" fmla="val 11150"/>
                </a:avLst>
              </a:prstGeom>
              <a:solidFill>
                <a:schemeClr val="bg1">
                  <a:alpha val="27059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 sz="3600"/>
              </a:p>
            </xdr:txBody>
          </xdr:sp>
          <xdr:sp macro="" textlink="">
            <xdr:nvSpPr>
              <xdr:cNvPr id="36" name="Isosceles Triangle 35">
                <a:extLst>
                  <a:ext uri="{FF2B5EF4-FFF2-40B4-BE49-F238E27FC236}">
                    <a16:creationId xmlns:a16="http://schemas.microsoft.com/office/drawing/2014/main" id="{00000000-0008-0000-0D00-000024000000}"/>
                  </a:ext>
                </a:extLst>
              </xdr:cNvPr>
              <xdr:cNvSpPr/>
            </xdr:nvSpPr>
            <xdr:spPr>
              <a:xfrm rot="4345476">
                <a:off x="3386313" y="3124511"/>
                <a:ext cx="183805" cy="1384022"/>
              </a:xfrm>
              <a:prstGeom prst="triangle">
                <a:avLst>
                  <a:gd name="adj" fmla="val 63429"/>
                </a:avLst>
              </a:prstGeom>
              <a:solidFill>
                <a:schemeClr val="bg1">
                  <a:alpha val="27059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 sz="3600"/>
              </a:p>
            </xdr:txBody>
          </xdr:sp>
        </xdr:grpSp>
        <xdr:cxnSp macro="">
          <xdr:nvCxnSpPr>
            <xdr:cNvPr id="7" name="Straight Arrow Connector 6">
              <a:extLst>
                <a:ext uri="{FF2B5EF4-FFF2-40B4-BE49-F238E27FC236}">
                  <a16:creationId xmlns:a16="http://schemas.microsoft.com/office/drawing/2014/main" id="{00000000-0008-0000-0D00-000007000000}"/>
                </a:ext>
              </a:extLst>
            </xdr:cNvPr>
            <xdr:cNvCxnSpPr>
              <a:endCxn id="34" idx="2"/>
            </xdr:cNvCxnSpPr>
          </xdr:nvCxnSpPr>
          <xdr:spPr>
            <a:xfrm flipV="1">
              <a:off x="2863900" y="2263447"/>
              <a:ext cx="1692987" cy="1793981"/>
            </a:xfrm>
            <a:prstGeom prst="straightConnector1">
              <a:avLst/>
            </a:prstGeom>
            <a:ln>
              <a:solidFill>
                <a:schemeClr val="bg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" name="TextBox 20">
              <a:extLst>
                <a:ext uri="{FF2B5EF4-FFF2-40B4-BE49-F238E27FC236}">
                  <a16:creationId xmlns:a16="http://schemas.microsoft.com/office/drawing/2014/main" id="{00000000-0008-0000-0D00-000008000000}"/>
                </a:ext>
              </a:extLst>
            </xdr:cNvPr>
            <xdr:cNvSpPr txBox="1"/>
          </xdr:nvSpPr>
          <xdr:spPr>
            <a:xfrm>
              <a:off x="2853027" y="2912902"/>
              <a:ext cx="349063" cy="23467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400" b="1">
                  <a:solidFill>
                    <a:schemeClr val="bg1"/>
                  </a:solidFill>
                </a:rPr>
                <a:t>D2</a:t>
              </a:r>
            </a:p>
          </xdr:txBody>
        </xdr:sp>
        <xdr:sp macro="" textlink="">
          <xdr:nvSpPr>
            <xdr:cNvPr id="9" name="TextBox 55">
              <a:extLst>
                <a:ext uri="{FF2B5EF4-FFF2-40B4-BE49-F238E27FC236}">
                  <a16:creationId xmlns:a16="http://schemas.microsoft.com/office/drawing/2014/main" id="{00000000-0008-0000-0D00-000009000000}"/>
                </a:ext>
              </a:extLst>
            </xdr:cNvPr>
            <xdr:cNvSpPr txBox="1"/>
          </xdr:nvSpPr>
          <xdr:spPr>
            <a:xfrm>
              <a:off x="3934043" y="2456916"/>
              <a:ext cx="349063" cy="23467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400" b="1">
                  <a:solidFill>
                    <a:schemeClr val="bg1"/>
                  </a:solidFill>
                </a:rPr>
                <a:t>D1</a:t>
              </a:r>
            </a:p>
          </xdr:txBody>
        </xdr:sp>
        <xdr:cxnSp macro="">
          <xdr:nvCxnSpPr>
            <xdr:cNvPr id="10" name="Straight Connector 9">
              <a:extLst>
                <a:ext uri="{FF2B5EF4-FFF2-40B4-BE49-F238E27FC236}">
                  <a16:creationId xmlns:a16="http://schemas.microsoft.com/office/drawing/2014/main" id="{00000000-0008-0000-0D00-00000A000000}"/>
                </a:ext>
              </a:extLst>
            </xdr:cNvPr>
            <xdr:cNvCxnSpPr/>
          </xdr:nvCxnSpPr>
          <xdr:spPr>
            <a:xfrm flipH="1" flipV="1">
              <a:off x="4327581" y="4346677"/>
              <a:ext cx="69794" cy="69749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1" name="Straight Connector 10">
              <a:extLst>
                <a:ext uri="{FF2B5EF4-FFF2-40B4-BE49-F238E27FC236}">
                  <a16:creationId xmlns:a16="http://schemas.microsoft.com/office/drawing/2014/main" id="{00000000-0008-0000-0D00-00000B000000}"/>
                </a:ext>
              </a:extLst>
            </xdr:cNvPr>
            <xdr:cNvCxnSpPr/>
          </xdr:nvCxnSpPr>
          <xdr:spPr>
            <a:xfrm>
              <a:off x="2444530" y="2623749"/>
              <a:ext cx="95470" cy="90876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2" name="Straight Arrow Connector 11">
              <a:extLst>
                <a:ext uri="{FF2B5EF4-FFF2-40B4-BE49-F238E27FC236}">
                  <a16:creationId xmlns:a16="http://schemas.microsoft.com/office/drawing/2014/main" id="{00000000-0008-0000-0D00-00000C000000}"/>
                </a:ext>
              </a:extLst>
            </xdr:cNvPr>
            <xdr:cNvCxnSpPr>
              <a:endCxn id="35" idx="2"/>
            </xdr:cNvCxnSpPr>
          </xdr:nvCxnSpPr>
          <xdr:spPr>
            <a:xfrm>
              <a:off x="2536996" y="2709198"/>
              <a:ext cx="1787410" cy="1631128"/>
            </a:xfrm>
            <a:prstGeom prst="straightConnector1">
              <a:avLst/>
            </a:prstGeom>
            <a:ln>
              <a:solidFill>
                <a:schemeClr val="bg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" name="Straight Connector 12">
              <a:extLst>
                <a:ext uri="{FF2B5EF4-FFF2-40B4-BE49-F238E27FC236}">
                  <a16:creationId xmlns:a16="http://schemas.microsoft.com/office/drawing/2014/main" id="{00000000-0008-0000-0D00-00000D000000}"/>
                </a:ext>
              </a:extLst>
            </xdr:cNvPr>
            <xdr:cNvCxnSpPr/>
          </xdr:nvCxnSpPr>
          <xdr:spPr>
            <a:xfrm flipV="1">
              <a:off x="4558000" y="2170114"/>
              <a:ext cx="79087" cy="84016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4" name="Straight Connector 13">
              <a:extLst>
                <a:ext uri="{FF2B5EF4-FFF2-40B4-BE49-F238E27FC236}">
                  <a16:creationId xmlns:a16="http://schemas.microsoft.com/office/drawing/2014/main" id="{00000000-0008-0000-0D00-00000E000000}"/>
                </a:ext>
              </a:extLst>
            </xdr:cNvPr>
            <xdr:cNvCxnSpPr/>
          </xdr:nvCxnSpPr>
          <xdr:spPr>
            <a:xfrm flipV="1">
              <a:off x="2757488" y="4057651"/>
              <a:ext cx="101020" cy="116681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5" name="Straight Connector 14">
              <a:extLst>
                <a:ext uri="{FF2B5EF4-FFF2-40B4-BE49-F238E27FC236}">
                  <a16:creationId xmlns:a16="http://schemas.microsoft.com/office/drawing/2014/main" id="{00000000-0008-0000-0D00-00000F000000}"/>
                </a:ext>
              </a:extLst>
            </xdr:cNvPr>
            <xdr:cNvCxnSpPr/>
          </xdr:nvCxnSpPr>
          <xdr:spPr>
            <a:xfrm>
              <a:off x="2444530" y="2623749"/>
              <a:ext cx="312958" cy="1550582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6" name="Straight Connector 15">
              <a:extLst>
                <a:ext uri="{FF2B5EF4-FFF2-40B4-BE49-F238E27FC236}">
                  <a16:creationId xmlns:a16="http://schemas.microsoft.com/office/drawing/2014/main" id="{00000000-0008-0000-0D00-000010000000}"/>
                </a:ext>
              </a:extLst>
            </xdr:cNvPr>
            <xdr:cNvCxnSpPr/>
          </xdr:nvCxnSpPr>
          <xdr:spPr>
            <a:xfrm flipV="1">
              <a:off x="2448873" y="2168639"/>
              <a:ext cx="2198934" cy="455111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7" name="Straight Connector 16">
              <a:extLst>
                <a:ext uri="{FF2B5EF4-FFF2-40B4-BE49-F238E27FC236}">
                  <a16:creationId xmlns:a16="http://schemas.microsoft.com/office/drawing/2014/main" id="{00000000-0008-0000-0D00-000011000000}"/>
                </a:ext>
              </a:extLst>
            </xdr:cNvPr>
            <xdr:cNvCxnSpPr/>
          </xdr:nvCxnSpPr>
          <xdr:spPr>
            <a:xfrm flipH="1">
              <a:off x="4406902" y="2161377"/>
              <a:ext cx="244475" cy="2271129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8" name="Straight Connector 17">
              <a:extLst>
                <a:ext uri="{FF2B5EF4-FFF2-40B4-BE49-F238E27FC236}">
                  <a16:creationId xmlns:a16="http://schemas.microsoft.com/office/drawing/2014/main" id="{00000000-0008-0000-0D00-000012000000}"/>
                </a:ext>
              </a:extLst>
            </xdr:cNvPr>
            <xdr:cNvCxnSpPr/>
          </xdr:nvCxnSpPr>
          <xdr:spPr>
            <a:xfrm flipH="1" flipV="1">
              <a:off x="2757489" y="4174332"/>
              <a:ext cx="1647866" cy="257181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9" name="TextBox 77">
              <a:extLst>
                <a:ext uri="{FF2B5EF4-FFF2-40B4-BE49-F238E27FC236}">
                  <a16:creationId xmlns:a16="http://schemas.microsoft.com/office/drawing/2014/main" id="{00000000-0008-0000-0D00-000013000000}"/>
                </a:ext>
              </a:extLst>
            </xdr:cNvPr>
            <xdr:cNvSpPr txBox="1"/>
          </xdr:nvSpPr>
          <xdr:spPr>
            <a:xfrm>
              <a:off x="3257550" y="3502968"/>
              <a:ext cx="349063" cy="23467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400" b="1">
                  <a:solidFill>
                    <a:schemeClr val="bg1"/>
                  </a:solidFill>
                </a:rPr>
                <a:t>H’</a:t>
              </a:r>
            </a:p>
          </xdr:txBody>
        </xdr:sp>
        <xdr:sp macro="" textlink="">
          <xdr:nvSpPr>
            <xdr:cNvPr id="20" name="TextBox 78">
              <a:extLst>
                <a:ext uri="{FF2B5EF4-FFF2-40B4-BE49-F238E27FC236}">
                  <a16:creationId xmlns:a16="http://schemas.microsoft.com/office/drawing/2014/main" id="{00000000-0008-0000-0D00-000014000000}"/>
                </a:ext>
              </a:extLst>
            </xdr:cNvPr>
            <xdr:cNvSpPr txBox="1"/>
          </xdr:nvSpPr>
          <xdr:spPr>
            <a:xfrm>
              <a:off x="2567147" y="2670423"/>
              <a:ext cx="349063" cy="19931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>
                  <a:solidFill>
                    <a:schemeClr val="bg1"/>
                  </a:solidFill>
                </a:rPr>
                <a:t>B’</a:t>
              </a:r>
            </a:p>
          </xdr:txBody>
        </xdr:sp>
        <xdr:sp macro="" textlink="">
          <xdr:nvSpPr>
            <xdr:cNvPr id="21" name="TextBox 79">
              <a:extLst>
                <a:ext uri="{FF2B5EF4-FFF2-40B4-BE49-F238E27FC236}">
                  <a16:creationId xmlns:a16="http://schemas.microsoft.com/office/drawing/2014/main" id="{00000000-0008-0000-0D00-000015000000}"/>
                </a:ext>
              </a:extLst>
            </xdr:cNvPr>
            <xdr:cNvSpPr txBox="1"/>
          </xdr:nvSpPr>
          <xdr:spPr>
            <a:xfrm>
              <a:off x="2238827" y="2466580"/>
              <a:ext cx="349063" cy="19931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/>
                <a:t>B</a:t>
              </a:r>
              <a:r>
                <a:rPr lang="en-GB" sz="1100" b="1" baseline="-25000"/>
                <a:t>1</a:t>
              </a:r>
              <a:endParaRPr lang="en-GB" sz="1100" b="1"/>
            </a:p>
          </xdr:txBody>
        </xdr:sp>
        <xdr:sp macro="" textlink="">
          <xdr:nvSpPr>
            <xdr:cNvPr id="22" name="TextBox 80">
              <a:extLst>
                <a:ext uri="{FF2B5EF4-FFF2-40B4-BE49-F238E27FC236}">
                  <a16:creationId xmlns:a16="http://schemas.microsoft.com/office/drawing/2014/main" id="{00000000-0008-0000-0D00-000016000000}"/>
                </a:ext>
              </a:extLst>
            </xdr:cNvPr>
            <xdr:cNvSpPr txBox="1"/>
          </xdr:nvSpPr>
          <xdr:spPr>
            <a:xfrm>
              <a:off x="4253103" y="2259974"/>
              <a:ext cx="349063" cy="19931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>
                  <a:solidFill>
                    <a:schemeClr val="bg1"/>
                  </a:solidFill>
                </a:rPr>
                <a:t>C’</a:t>
              </a:r>
            </a:p>
          </xdr:txBody>
        </xdr:sp>
        <xdr:sp macro="" textlink="">
          <xdr:nvSpPr>
            <xdr:cNvPr id="23" name="TextBox 81">
              <a:extLst>
                <a:ext uri="{FF2B5EF4-FFF2-40B4-BE49-F238E27FC236}">
                  <a16:creationId xmlns:a16="http://schemas.microsoft.com/office/drawing/2014/main" id="{00000000-0008-0000-0D00-000017000000}"/>
                </a:ext>
              </a:extLst>
            </xdr:cNvPr>
            <xdr:cNvSpPr txBox="1"/>
          </xdr:nvSpPr>
          <xdr:spPr>
            <a:xfrm>
              <a:off x="4582808" y="1969521"/>
              <a:ext cx="349063" cy="19931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/>
                <a:t>C</a:t>
              </a:r>
              <a:r>
                <a:rPr lang="en-GB" sz="1100" b="1" baseline="-25000"/>
                <a:t>1</a:t>
              </a:r>
              <a:endParaRPr lang="en-GB" sz="1100" b="1"/>
            </a:p>
          </xdr:txBody>
        </xdr:sp>
        <xdr:sp macro="" textlink="">
          <xdr:nvSpPr>
            <xdr:cNvPr id="24" name="TextBox 82">
              <a:extLst>
                <a:ext uri="{FF2B5EF4-FFF2-40B4-BE49-F238E27FC236}">
                  <a16:creationId xmlns:a16="http://schemas.microsoft.com/office/drawing/2014/main" id="{00000000-0008-0000-0D00-000018000000}"/>
                </a:ext>
              </a:extLst>
            </xdr:cNvPr>
            <xdr:cNvSpPr txBox="1"/>
          </xdr:nvSpPr>
          <xdr:spPr>
            <a:xfrm>
              <a:off x="4133960" y="4064801"/>
              <a:ext cx="349063" cy="19931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>
                  <a:solidFill>
                    <a:schemeClr val="bg1"/>
                  </a:solidFill>
                </a:rPr>
                <a:t>D’</a:t>
              </a:r>
            </a:p>
          </xdr:txBody>
        </xdr:sp>
        <xdr:sp macro="" textlink="">
          <xdr:nvSpPr>
            <xdr:cNvPr id="25" name="TextBox 83">
              <a:extLst>
                <a:ext uri="{FF2B5EF4-FFF2-40B4-BE49-F238E27FC236}">
                  <a16:creationId xmlns:a16="http://schemas.microsoft.com/office/drawing/2014/main" id="{00000000-0008-0000-0D00-000019000000}"/>
                </a:ext>
              </a:extLst>
            </xdr:cNvPr>
            <xdr:cNvSpPr txBox="1"/>
          </xdr:nvSpPr>
          <xdr:spPr>
            <a:xfrm>
              <a:off x="4321525" y="4447339"/>
              <a:ext cx="349063" cy="19931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/>
                <a:t>D</a:t>
              </a:r>
              <a:r>
                <a:rPr lang="en-GB" sz="1100" b="1" baseline="-25000"/>
                <a:t>1</a:t>
              </a:r>
              <a:endParaRPr lang="en-GB" sz="1100" b="1"/>
            </a:p>
          </xdr:txBody>
        </xdr:sp>
        <xdr:sp macro="" textlink="">
          <xdr:nvSpPr>
            <xdr:cNvPr id="26" name="TextBox 84">
              <a:extLst>
                <a:ext uri="{FF2B5EF4-FFF2-40B4-BE49-F238E27FC236}">
                  <a16:creationId xmlns:a16="http://schemas.microsoft.com/office/drawing/2014/main" id="{00000000-0008-0000-0D00-00001A000000}"/>
                </a:ext>
              </a:extLst>
            </xdr:cNvPr>
            <xdr:cNvSpPr txBox="1"/>
          </xdr:nvSpPr>
          <xdr:spPr>
            <a:xfrm>
              <a:off x="2901624" y="3902747"/>
              <a:ext cx="349063" cy="19931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>
                  <a:solidFill>
                    <a:schemeClr val="bg1"/>
                  </a:solidFill>
                </a:rPr>
                <a:t>A’</a:t>
              </a:r>
            </a:p>
          </xdr:txBody>
        </xdr:sp>
        <xdr:sp macro="" textlink="">
          <xdr:nvSpPr>
            <xdr:cNvPr id="27" name="TextBox 85">
              <a:extLst>
                <a:ext uri="{FF2B5EF4-FFF2-40B4-BE49-F238E27FC236}">
                  <a16:creationId xmlns:a16="http://schemas.microsoft.com/office/drawing/2014/main" id="{00000000-0008-0000-0D00-00001B000000}"/>
                </a:ext>
              </a:extLst>
            </xdr:cNvPr>
            <xdr:cNvSpPr txBox="1"/>
          </xdr:nvSpPr>
          <xdr:spPr>
            <a:xfrm>
              <a:off x="2580941" y="4167192"/>
              <a:ext cx="349063" cy="19931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/>
                <a:t>A</a:t>
              </a:r>
              <a:r>
                <a:rPr lang="en-GB" sz="1100" b="1" baseline="-25000"/>
                <a:t>1</a:t>
              </a:r>
              <a:endParaRPr lang="en-GB" sz="1100" b="1"/>
            </a:p>
          </xdr:txBody>
        </xdr:sp>
        <xdr:cxnSp macro="">
          <xdr:nvCxnSpPr>
            <xdr:cNvPr id="28" name="Straight Arrow Connector 27">
              <a:extLst>
                <a:ext uri="{FF2B5EF4-FFF2-40B4-BE49-F238E27FC236}">
                  <a16:creationId xmlns:a16="http://schemas.microsoft.com/office/drawing/2014/main" id="{00000000-0008-0000-0D00-00001C000000}"/>
                </a:ext>
              </a:extLst>
            </xdr:cNvPr>
            <xdr:cNvCxnSpPr/>
          </xdr:nvCxnSpPr>
          <xdr:spPr>
            <a:xfrm>
              <a:off x="3398950" y="3495059"/>
              <a:ext cx="1362846" cy="0"/>
            </a:xfrm>
            <a:prstGeom prst="straightConnector1">
              <a:avLst/>
            </a:prstGeom>
            <a:ln>
              <a:solidFill>
                <a:schemeClr val="bg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" name="Straight Arrow Connector 28">
              <a:extLst>
                <a:ext uri="{FF2B5EF4-FFF2-40B4-BE49-F238E27FC236}">
                  <a16:creationId xmlns:a16="http://schemas.microsoft.com/office/drawing/2014/main" id="{00000000-0008-0000-0D00-00001D000000}"/>
                </a:ext>
              </a:extLst>
            </xdr:cNvPr>
            <xdr:cNvCxnSpPr/>
          </xdr:nvCxnSpPr>
          <xdr:spPr>
            <a:xfrm flipV="1">
              <a:off x="3398950" y="2049050"/>
              <a:ext cx="0" cy="1437447"/>
            </a:xfrm>
            <a:prstGeom prst="straightConnector1">
              <a:avLst/>
            </a:prstGeom>
            <a:ln>
              <a:solidFill>
                <a:schemeClr val="bg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1" name="TextBox 79">
              <a:extLst>
                <a:ext uri="{FF2B5EF4-FFF2-40B4-BE49-F238E27FC236}">
                  <a16:creationId xmlns:a16="http://schemas.microsoft.com/office/drawing/2014/main" id="{00000000-0008-0000-0D00-000029000000}"/>
                </a:ext>
              </a:extLst>
            </xdr:cNvPr>
            <xdr:cNvSpPr txBox="1"/>
          </xdr:nvSpPr>
          <xdr:spPr>
            <a:xfrm>
              <a:off x="2252560" y="1942737"/>
              <a:ext cx="349063" cy="19931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/>
                <a:t>B</a:t>
              </a:r>
              <a:r>
                <a:rPr lang="en-GB" sz="1100" b="1" baseline="-25000"/>
                <a:t>1</a:t>
              </a:r>
              <a:r>
                <a:rPr lang="en-GB" sz="1100" b="1" baseline="0"/>
                <a:t>'</a:t>
              </a:r>
              <a:endParaRPr lang="en-GB" sz="1100" b="1"/>
            </a:p>
          </xdr:txBody>
        </xdr:sp>
        <xdr:sp macro="" textlink="">
          <xdr:nvSpPr>
            <xdr:cNvPr id="42" name="TextBox 83">
              <a:extLst>
                <a:ext uri="{FF2B5EF4-FFF2-40B4-BE49-F238E27FC236}">
                  <a16:creationId xmlns:a16="http://schemas.microsoft.com/office/drawing/2014/main" id="{00000000-0008-0000-0D00-00002A000000}"/>
                </a:ext>
              </a:extLst>
            </xdr:cNvPr>
            <xdr:cNvSpPr txBox="1"/>
          </xdr:nvSpPr>
          <xdr:spPr>
            <a:xfrm>
              <a:off x="4644255" y="4404283"/>
              <a:ext cx="349063" cy="19931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/>
                <a:t>D</a:t>
              </a:r>
              <a:r>
                <a:rPr lang="en-GB" sz="1100" b="1" baseline="-25000"/>
                <a:t>1</a:t>
              </a:r>
              <a:r>
                <a:rPr lang="en-GB" sz="1100" b="1" baseline="0"/>
                <a:t>'</a:t>
              </a:r>
              <a:endParaRPr lang="en-GB" sz="1100" b="1"/>
            </a:p>
          </xdr:txBody>
        </xdr:sp>
      </xdr:grp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/>
        </xdr:nvSpPr>
        <xdr:spPr>
          <a:xfrm>
            <a:off x="20706365" y="7318484"/>
            <a:ext cx="3060000" cy="3060000"/>
          </a:xfrm>
          <a:prstGeom prst="rect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457200</xdr:colOff>
      <xdr:row>0</xdr:row>
      <xdr:rowOff>85725</xdr:rowOff>
    </xdr:from>
    <xdr:to>
      <xdr:col>15</xdr:col>
      <xdr:colOff>23321</xdr:colOff>
      <xdr:row>36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5200" y="85725"/>
          <a:ext cx="5662121" cy="6858000"/>
        </a:xfrm>
        <a:prstGeom prst="rect">
          <a:avLst/>
        </a:prstGeom>
      </xdr:spPr>
    </xdr:pic>
    <xdr:clientData/>
  </xdr:twoCellAnchor>
  <xdr:twoCellAnchor>
    <xdr:from>
      <xdr:col>8</xdr:col>
      <xdr:colOff>317500</xdr:colOff>
      <xdr:row>1</xdr:row>
      <xdr:rowOff>40415</xdr:rowOff>
    </xdr:from>
    <xdr:to>
      <xdr:col>10</xdr:col>
      <xdr:colOff>12700</xdr:colOff>
      <xdr:row>2</xdr:row>
      <xdr:rowOff>126914</xdr:rowOff>
    </xdr:to>
    <xdr:sp macro="" textlink="">
      <xdr:nvSpPr>
        <xdr:cNvPr id="3" name="TextBox 1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5194300" y="230915"/>
          <a:ext cx="914400" cy="276999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/>
            <a:t>FoV 61</a:t>
          </a:r>
          <a:r>
            <a:rPr lang="en-GB" sz="1200" b="1">
              <a:sym typeface="Symbol" panose="05050102010706020507" pitchFamily="18" charset="2"/>
            </a:rPr>
            <a:t></a:t>
          </a:r>
          <a:endParaRPr lang="en-GB" sz="1200" b="1"/>
        </a:p>
      </xdr:txBody>
    </xdr:sp>
    <xdr:clientData/>
  </xdr:twoCellAnchor>
  <xdr:twoCellAnchor>
    <xdr:from>
      <xdr:col>5</xdr:col>
      <xdr:colOff>469900</xdr:colOff>
      <xdr:row>13</xdr:row>
      <xdr:rowOff>18415</xdr:rowOff>
    </xdr:from>
    <xdr:to>
      <xdr:col>7</xdr:col>
      <xdr:colOff>525260</xdr:colOff>
      <xdr:row>14</xdr:row>
      <xdr:rowOff>140335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3517900" y="2494915"/>
          <a:ext cx="1274560" cy="312420"/>
        </a:xfrm>
        <a:prstGeom prst="rect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302419</xdr:colOff>
      <xdr:row>13</xdr:row>
      <xdr:rowOff>18415</xdr:rowOff>
    </xdr:from>
    <xdr:to>
      <xdr:col>11</xdr:col>
      <xdr:colOff>231140</xdr:colOff>
      <xdr:row>14</xdr:row>
      <xdr:rowOff>140335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6398419" y="2494915"/>
          <a:ext cx="538321" cy="312420"/>
        </a:xfrm>
        <a:prstGeom prst="rect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444730</xdr:colOff>
      <xdr:row>13</xdr:row>
      <xdr:rowOff>23425</xdr:rowOff>
    </xdr:from>
    <xdr:to>
      <xdr:col>13</xdr:col>
      <xdr:colOff>279400</xdr:colOff>
      <xdr:row>14</xdr:row>
      <xdr:rowOff>109924</xdr:rowOff>
    </xdr:to>
    <xdr:sp macro="" textlink="">
      <xdr:nvSpPr>
        <xdr:cNvPr id="6" name="TextBox 1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/>
      </xdr:nvSpPr>
      <xdr:spPr>
        <a:xfrm>
          <a:off x="7150330" y="2499925"/>
          <a:ext cx="105387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/>
            <a:t>cover glass</a:t>
          </a:r>
        </a:p>
      </xdr:txBody>
    </xdr:sp>
    <xdr:clientData/>
  </xdr:twoCellAnchor>
  <xdr:twoCellAnchor>
    <xdr:from>
      <xdr:col>6</xdr:col>
      <xdr:colOff>497580</xdr:colOff>
      <xdr:row>14</xdr:row>
      <xdr:rowOff>140335</xdr:rowOff>
    </xdr:from>
    <xdr:to>
      <xdr:col>10</xdr:col>
      <xdr:colOff>584280</xdr:colOff>
      <xdr:row>14</xdr:row>
      <xdr:rowOff>140335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CxnSpPr/>
      </xdr:nvCxnSpPr>
      <xdr:spPr>
        <a:xfrm>
          <a:off x="4155180" y="2807335"/>
          <a:ext cx="2525100" cy="0"/>
        </a:xfrm>
        <a:prstGeom prst="line">
          <a:avLst/>
        </a:prstGeom>
        <a:ln>
          <a:solidFill>
            <a:schemeClr val="bg1">
              <a:lumMod val="50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497580</xdr:colOff>
      <xdr:row>13</xdr:row>
      <xdr:rowOff>18415</xdr:rowOff>
    </xdr:from>
    <xdr:to>
      <xdr:col>10</xdr:col>
      <xdr:colOff>571580</xdr:colOff>
      <xdr:row>13</xdr:row>
      <xdr:rowOff>18415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CxnSpPr>
          <a:stCxn id="4" idx="0"/>
          <a:endCxn id="5" idx="0"/>
        </xdr:cNvCxnSpPr>
      </xdr:nvCxnSpPr>
      <xdr:spPr>
        <a:xfrm>
          <a:off x="4155180" y="2494915"/>
          <a:ext cx="2512400" cy="0"/>
        </a:xfrm>
        <a:prstGeom prst="line">
          <a:avLst/>
        </a:prstGeom>
        <a:ln>
          <a:solidFill>
            <a:schemeClr val="bg1">
              <a:lumMod val="50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444730</xdr:colOff>
      <xdr:row>14</xdr:row>
      <xdr:rowOff>137724</xdr:rowOff>
    </xdr:from>
    <xdr:to>
      <xdr:col>13</xdr:col>
      <xdr:colOff>279400</xdr:colOff>
      <xdr:row>16</xdr:row>
      <xdr:rowOff>33723</xdr:rowOff>
    </xdr:to>
    <xdr:sp macro="" textlink="">
      <xdr:nvSpPr>
        <xdr:cNvPr id="9" name="TextBox 44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/>
      </xdr:nvSpPr>
      <xdr:spPr>
        <a:xfrm>
          <a:off x="7150330" y="2804724"/>
          <a:ext cx="105387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/>
            <a:t>air gap</a:t>
          </a:r>
        </a:p>
      </xdr:txBody>
    </xdr:sp>
    <xdr:clientData/>
  </xdr:twoCellAnchor>
  <xdr:twoCellAnchor>
    <xdr:from>
      <xdr:col>7</xdr:col>
      <xdr:colOff>537960</xdr:colOff>
      <xdr:row>6</xdr:row>
      <xdr:rowOff>161925</xdr:rowOff>
    </xdr:from>
    <xdr:to>
      <xdr:col>7</xdr:col>
      <xdr:colOff>537960</xdr:colOff>
      <xdr:row>8</xdr:row>
      <xdr:rowOff>161925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CxnSpPr/>
      </xdr:nvCxnSpPr>
      <xdr:spPr>
        <a:xfrm flipV="1">
          <a:off x="4805160" y="1304925"/>
          <a:ext cx="0" cy="381000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295099</xdr:colOff>
      <xdr:row>6</xdr:row>
      <xdr:rowOff>154235</xdr:rowOff>
    </xdr:from>
    <xdr:to>
      <xdr:col>10</xdr:col>
      <xdr:colOff>300453</xdr:colOff>
      <xdr:row>8</xdr:row>
      <xdr:rowOff>161925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CxnSpPr/>
      </xdr:nvCxnSpPr>
      <xdr:spPr>
        <a:xfrm flipH="1" flipV="1">
          <a:off x="6391099" y="1297235"/>
          <a:ext cx="5354" cy="388690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539546</xdr:colOff>
      <xdr:row>6</xdr:row>
      <xdr:rowOff>154235</xdr:rowOff>
    </xdr:from>
    <xdr:to>
      <xdr:col>10</xdr:col>
      <xdr:colOff>294746</xdr:colOff>
      <xdr:row>6</xdr:row>
      <xdr:rowOff>154235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CxnSpPr/>
      </xdr:nvCxnSpPr>
      <xdr:spPr>
        <a:xfrm>
          <a:off x="4806746" y="1297235"/>
          <a:ext cx="1584000" cy="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47695</xdr:colOff>
      <xdr:row>4</xdr:row>
      <xdr:rowOff>101354</xdr:rowOff>
    </xdr:from>
    <xdr:to>
      <xdr:col>10</xdr:col>
      <xdr:colOff>175765</xdr:colOff>
      <xdr:row>6</xdr:row>
      <xdr:rowOff>182019</xdr:rowOff>
    </xdr:to>
    <xdr:sp macro="" textlink="">
      <xdr:nvSpPr>
        <xdr:cNvPr id="13" name="TextBox 5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 txBox="1"/>
      </xdr:nvSpPr>
      <xdr:spPr>
        <a:xfrm>
          <a:off x="4924495" y="863354"/>
          <a:ext cx="134727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/>
            <a:t>cover glass</a:t>
          </a:r>
        </a:p>
        <a:p>
          <a:pPr algn="ctr"/>
          <a:r>
            <a:rPr lang="en-GB" sz="1200" b="1"/>
            <a:t>Tx min aperture</a:t>
          </a:r>
        </a:p>
      </xdr:txBody>
    </xdr:sp>
    <xdr:clientData/>
  </xdr:twoCellAnchor>
  <xdr:twoCellAnchor>
    <xdr:from>
      <xdr:col>7</xdr:col>
      <xdr:colOff>537960</xdr:colOff>
      <xdr:row>8</xdr:row>
      <xdr:rowOff>161925</xdr:rowOff>
    </xdr:from>
    <xdr:to>
      <xdr:col>7</xdr:col>
      <xdr:colOff>537960</xdr:colOff>
      <xdr:row>13</xdr:row>
      <xdr:rowOff>18415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CxnSpPr/>
      </xdr:nvCxnSpPr>
      <xdr:spPr>
        <a:xfrm flipV="1">
          <a:off x="4805160" y="1685925"/>
          <a:ext cx="0" cy="808990"/>
        </a:xfrm>
        <a:prstGeom prst="line">
          <a:avLst/>
        </a:prstGeom>
        <a:ln>
          <a:solidFill>
            <a:schemeClr val="bg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300453</xdr:colOff>
      <xdr:row>8</xdr:row>
      <xdr:rowOff>161925</xdr:rowOff>
    </xdr:from>
    <xdr:to>
      <xdr:col>10</xdr:col>
      <xdr:colOff>300453</xdr:colOff>
      <xdr:row>13</xdr:row>
      <xdr:rowOff>13653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CxnSpPr/>
      </xdr:nvCxnSpPr>
      <xdr:spPr>
        <a:xfrm flipV="1">
          <a:off x="6396453" y="1685925"/>
          <a:ext cx="0" cy="804228"/>
        </a:xfrm>
        <a:prstGeom prst="line">
          <a:avLst/>
        </a:prstGeom>
        <a:ln>
          <a:solidFill>
            <a:schemeClr val="bg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127000</xdr:colOff>
      <xdr:row>13</xdr:row>
      <xdr:rowOff>23178</xdr:rowOff>
    </xdr:from>
    <xdr:to>
      <xdr:col>10</xdr:col>
      <xdr:colOff>301096</xdr:colOff>
      <xdr:row>20</xdr:row>
      <xdr:rowOff>157821</xdr:rowOff>
    </xdr:to>
    <xdr:sp macro="" textlink="">
      <xdr:nvSpPr>
        <xdr:cNvPr id="16" name="Right Triangle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/>
      </xdr:nvSpPr>
      <xdr:spPr>
        <a:xfrm flipH="1">
          <a:off x="5613400" y="2499678"/>
          <a:ext cx="783696" cy="1468143"/>
        </a:xfrm>
        <a:prstGeom prst="rtTriangle">
          <a:avLst/>
        </a:prstGeom>
        <a:noFill/>
        <a:ln>
          <a:solidFill>
            <a:schemeClr val="bg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49645</xdr:colOff>
      <xdr:row>18</xdr:row>
      <xdr:rowOff>171525</xdr:rowOff>
    </xdr:from>
    <xdr:to>
      <xdr:col>10</xdr:col>
      <xdr:colOff>493915</xdr:colOff>
      <xdr:row>20</xdr:row>
      <xdr:rowOff>166846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TextBox 19">
              <a:extLst>
                <a:ext uri="{FF2B5EF4-FFF2-40B4-BE49-F238E27FC236}">
                  <a16:creationId xmlns:a16="http://schemas.microsoft.com/office/drawing/2014/main" id="{00000000-0008-0000-0E00-000011000000}"/>
                </a:ext>
              </a:extLst>
            </xdr:cNvPr>
            <xdr:cNvSpPr txBox="1"/>
          </xdr:nvSpPr>
          <xdr:spPr>
            <a:xfrm>
              <a:off x="5536045" y="3600525"/>
              <a:ext cx="1053870" cy="3763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type m:val="skw"/>
                        <m:ctrlPr>
                          <a:rPr lang="en-GB" sz="1400" b="1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GB" sz="1400" b="1" i="1">
                                <a:solidFill>
                                  <a:schemeClr val="bg1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GB" sz="1400" b="1" i="0">
                                <a:solidFill>
                                  <a:schemeClr val="bg1"/>
                                </a:solidFill>
                                <a:latin typeface="Cambria Math" panose="02040503050406030204" pitchFamily="18" charset="0"/>
                              </a:rPr>
                              <m:t>𝐚</m:t>
                            </m:r>
                          </m:e>
                          <m:sub>
                            <m:r>
                              <a:rPr lang="en-GB" sz="1400" b="1" i="0">
                                <a:solidFill>
                                  <a:schemeClr val="bg1"/>
                                </a:solidFill>
                                <a:latin typeface="Cambria Math" panose="02040503050406030204" pitchFamily="18" charset="0"/>
                              </a:rPr>
                              <m:t>𝐓</m:t>
                            </m:r>
                          </m:sub>
                        </m:sSub>
                      </m:num>
                      <m:den>
                        <m:r>
                          <a:rPr lang="en-GB" sz="1400" b="1" i="0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  <m:t>𝟐</m:t>
                        </m:r>
                      </m:den>
                    </m:f>
                  </m:oMath>
                </m:oMathPara>
              </a14:m>
              <a:endParaRPr lang="en-GB" sz="1400" b="1">
                <a:solidFill>
                  <a:schemeClr val="bg1"/>
                </a:solidFill>
              </a:endParaRPr>
            </a:p>
          </xdr:txBody>
        </xdr:sp>
      </mc:Choice>
      <mc:Fallback xmlns="">
        <xdr:sp macro="" textlink="">
          <xdr:nvSpPr>
            <xdr:cNvPr id="17" name="TextBox 19"/>
            <xdr:cNvSpPr txBox="1"/>
          </xdr:nvSpPr>
          <xdr:spPr>
            <a:xfrm>
              <a:off x="5536045" y="3600525"/>
              <a:ext cx="1053870" cy="3763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400" b="1" i="0">
                  <a:solidFill>
                    <a:schemeClr val="bg1"/>
                  </a:solidFill>
                  <a:latin typeface="Cambria Math" panose="02040503050406030204" pitchFamily="18" charset="0"/>
                </a:rPr>
                <a:t>𝐚_𝐓⁄𝟐</a:t>
              </a:r>
              <a:endParaRPr lang="en-GB" sz="1400" b="1">
                <a:solidFill>
                  <a:schemeClr val="bg1"/>
                </a:solidFill>
              </a:endParaRPr>
            </a:p>
          </xdr:txBody>
        </xdr:sp>
      </mc:Fallback>
    </mc:AlternateContent>
    <xdr:clientData/>
  </xdr:twoCellAnchor>
  <xdr:twoCellAnchor>
    <xdr:from>
      <xdr:col>10</xdr:col>
      <xdr:colOff>301096</xdr:colOff>
      <xdr:row>14</xdr:row>
      <xdr:rowOff>137725</xdr:rowOff>
    </xdr:from>
    <xdr:to>
      <xdr:col>10</xdr:col>
      <xdr:colOff>301096</xdr:colOff>
      <xdr:row>16</xdr:row>
      <xdr:rowOff>33724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CxnSpPr/>
      </xdr:nvCxnSpPr>
      <xdr:spPr>
        <a:xfrm flipV="1">
          <a:off x="6397096" y="2804725"/>
          <a:ext cx="0" cy="276999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301096</xdr:colOff>
      <xdr:row>13</xdr:row>
      <xdr:rowOff>952</xdr:rowOff>
    </xdr:from>
    <xdr:to>
      <xdr:col>10</xdr:col>
      <xdr:colOff>301096</xdr:colOff>
      <xdr:row>14</xdr:row>
      <xdr:rowOff>134452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CxnSpPr/>
      </xdr:nvCxnSpPr>
      <xdr:spPr>
        <a:xfrm flipV="1">
          <a:off x="6397096" y="2477452"/>
          <a:ext cx="0" cy="32400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222364</xdr:colOff>
      <xdr:row>17</xdr:row>
      <xdr:rowOff>165064</xdr:rowOff>
    </xdr:from>
    <xdr:to>
      <xdr:col>15</xdr:col>
      <xdr:colOff>542404</xdr:colOff>
      <xdr:row>19</xdr:row>
      <xdr:rowOff>61063</xdr:rowOff>
    </xdr:to>
    <xdr:sp macro="" textlink="">
      <xdr:nvSpPr>
        <xdr:cNvPr id="20" name="TextBox 22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 txBox="1"/>
      </xdr:nvSpPr>
      <xdr:spPr>
        <a:xfrm>
          <a:off x="8147164" y="3403564"/>
          <a:ext cx="15392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/>
            <a:t>T</a:t>
          </a:r>
          <a:r>
            <a:rPr lang="en-GB" sz="1200" b="1" baseline="-25000"/>
            <a:t>xPyramidApex </a:t>
          </a:r>
          <a:r>
            <a:rPr lang="en-GB" sz="1200" b="1"/>
            <a:t>= 0.63</a:t>
          </a:r>
          <a:endParaRPr lang="en-GB" sz="1200" b="1" baseline="-25000"/>
        </a:p>
      </xdr:txBody>
    </xdr:sp>
    <xdr:clientData/>
  </xdr:twoCellAnchor>
  <xdr:twoCellAnchor>
    <xdr:from>
      <xdr:col>5</xdr:col>
      <xdr:colOff>381000</xdr:colOff>
      <xdr:row>30</xdr:row>
      <xdr:rowOff>36195</xdr:rowOff>
    </xdr:from>
    <xdr:to>
      <xdr:col>11</xdr:col>
      <xdr:colOff>533400</xdr:colOff>
      <xdr:row>34</xdr:row>
      <xdr:rowOff>36195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/>
      </xdr:nvSpPr>
      <xdr:spPr>
        <a:xfrm>
          <a:off x="3429000" y="5751195"/>
          <a:ext cx="3810000" cy="7620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510540</xdr:colOff>
      <xdr:row>21</xdr:row>
      <xdr:rowOff>28575</xdr:rowOff>
    </xdr:from>
    <xdr:to>
      <xdr:col>13</xdr:col>
      <xdr:colOff>586740</xdr:colOff>
      <xdr:row>35</xdr:row>
      <xdr:rowOff>28575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/>
      </xdr:nvSpPr>
      <xdr:spPr>
        <a:xfrm>
          <a:off x="7825740" y="4029075"/>
          <a:ext cx="685800" cy="26670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91108</xdr:colOff>
      <xdr:row>1</xdr:row>
      <xdr:rowOff>41412</xdr:rowOff>
    </xdr:from>
    <xdr:to>
      <xdr:col>15</xdr:col>
      <xdr:colOff>237639</xdr:colOff>
      <xdr:row>6</xdr:row>
      <xdr:rowOff>101494</xdr:rowOff>
    </xdr:to>
    <xdr:pic>
      <xdr:nvPicPr>
        <xdr:cNvPr id="2" name="Picture 1" descr="Home - STMicroelectronics">
          <a:extLst>
            <a:ext uri="{FF2B5EF4-FFF2-40B4-BE49-F238E27FC236}">
              <a16:creationId xmlns:a16="http://schemas.microsoft.com/office/drawing/2014/main" id="{B9B9CCBA-E384-47DD-8DE0-1AF43992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5304" y="66260"/>
          <a:ext cx="1372357" cy="9711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189673</xdr:colOff>
      <xdr:row>22</xdr:row>
      <xdr:rowOff>19464</xdr:rowOff>
    </xdr:from>
    <xdr:to>
      <xdr:col>12</xdr:col>
      <xdr:colOff>408748</xdr:colOff>
      <xdr:row>24</xdr:row>
      <xdr:rowOff>67089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3847273" y="2114964"/>
          <a:ext cx="219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189742</xdr:colOff>
      <xdr:row>33</xdr:row>
      <xdr:rowOff>75371</xdr:rowOff>
    </xdr:from>
    <xdr:to>
      <xdr:col>12</xdr:col>
      <xdr:colOff>399923</xdr:colOff>
      <xdr:row>49</xdr:row>
      <xdr:rowOff>113472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GrpSpPr/>
      </xdr:nvGrpSpPr>
      <xdr:grpSpPr>
        <a:xfrm>
          <a:off x="189742" y="7347989"/>
          <a:ext cx="10362710" cy="3086101"/>
          <a:chOff x="1832741" y="2857500"/>
          <a:chExt cx="5649256" cy="3048001"/>
        </a:xfrm>
      </xdr:grpSpPr>
      <xdr:pic>
        <xdr:nvPicPr>
          <xdr:cNvPr id="19" name="Picture 18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837503" y="3648075"/>
            <a:ext cx="4588340" cy="2228850"/>
          </a:xfrm>
          <a:prstGeom prst="rect">
            <a:avLst/>
          </a:prstGeom>
        </xdr:spPr>
      </xdr:pic>
      <xdr:cxnSp macro="">
        <xdr:nvCxnSpPr>
          <xdr:cNvPr id="20" name="Straight Arrow Connector 19"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CxnSpPr/>
        </xdr:nvCxnSpPr>
        <xdr:spPr>
          <a:xfrm>
            <a:off x="1832741" y="5905500"/>
            <a:ext cx="5649256" cy="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Straight Arrow Connector 20"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CxnSpPr/>
        </xdr:nvCxnSpPr>
        <xdr:spPr>
          <a:xfrm flipV="1">
            <a:off x="1832741" y="2933702"/>
            <a:ext cx="4762" cy="2971799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" name="TextBox 9"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SpPr txBox="1"/>
        </xdr:nvSpPr>
        <xdr:spPr>
          <a:xfrm>
            <a:off x="7352397" y="5521881"/>
            <a:ext cx="76200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>
                <a:solidFill>
                  <a:schemeClr val="tx1"/>
                </a:solidFill>
              </a:rPr>
              <a:t>x</a:t>
            </a:r>
          </a:p>
        </xdr:txBody>
      </xdr:sp>
      <xdr:sp macro="" textlink="">
        <xdr:nvSpPr>
          <xdr:cNvPr id="23" name="TextBox 10"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SpPr txBox="1"/>
        </xdr:nvSpPr>
        <xdr:spPr>
          <a:xfrm>
            <a:off x="1908941" y="2857500"/>
            <a:ext cx="457200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/>
              <a:t>y</a:t>
            </a:r>
          </a:p>
        </xdr:txBody>
      </xdr:sp>
    </xdr:grpSp>
    <xdr:clientData/>
  </xdr:twoCellAnchor>
  <xdr:twoCellAnchor>
    <xdr:from>
      <xdr:col>15</xdr:col>
      <xdr:colOff>41414</xdr:colOff>
      <xdr:row>6</xdr:row>
      <xdr:rowOff>41413</xdr:rowOff>
    </xdr:from>
    <xdr:to>
      <xdr:col>18</xdr:col>
      <xdr:colOff>83562</xdr:colOff>
      <xdr:row>19</xdr:row>
      <xdr:rowOff>90156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GrpSpPr/>
      </xdr:nvGrpSpPr>
      <xdr:grpSpPr>
        <a:xfrm>
          <a:off x="13107473" y="1296472"/>
          <a:ext cx="1857501" cy="2973478"/>
          <a:chOff x="10447607" y="3411727"/>
          <a:chExt cx="1594011" cy="946824"/>
        </a:xfrm>
      </xdr:grpSpPr>
      <xdr:pic>
        <xdr:nvPicPr>
          <xdr:cNvPr id="26" name="Picture 25">
            <a:extLst>
              <a:ext uri="{FF2B5EF4-FFF2-40B4-BE49-F238E27FC236}">
                <a16:creationId xmlns:a16="http://schemas.microsoft.com/office/drawing/2014/main" id="{00000000-0008-0000-0300-00001A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rcRect l="65807" t="38368" r="160" b="18827"/>
          <a:stretch/>
        </xdr:blipFill>
        <xdr:spPr>
          <a:xfrm>
            <a:off x="11314327" y="3411727"/>
            <a:ext cx="727291" cy="946824"/>
          </a:xfrm>
          <a:prstGeom prst="rect">
            <a:avLst/>
          </a:prstGeom>
        </xdr:spPr>
      </xdr:pic>
      <xdr:grpSp>
        <xdr:nvGrpSpPr>
          <xdr:cNvPr id="27" name="Group 26">
            <a:extLst>
              <a:ext uri="{FF2B5EF4-FFF2-40B4-BE49-F238E27FC236}">
                <a16:creationId xmlns:a16="http://schemas.microsoft.com/office/drawing/2014/main" id="{00000000-0008-0000-0300-00001B000000}"/>
              </a:ext>
            </a:extLst>
          </xdr:cNvPr>
          <xdr:cNvGrpSpPr/>
        </xdr:nvGrpSpPr>
        <xdr:grpSpPr>
          <a:xfrm>
            <a:off x="10820347" y="3873732"/>
            <a:ext cx="587534" cy="463984"/>
            <a:chOff x="4352925" y="3097471"/>
            <a:chExt cx="1481138" cy="1129665"/>
          </a:xfrm>
        </xdr:grpSpPr>
        <xdr:sp macro="" textlink="">
          <xdr:nvSpPr>
            <xdr:cNvPr id="29" name="Cube 7">
              <a:extLst>
                <a:ext uri="{FF2B5EF4-FFF2-40B4-BE49-F238E27FC236}">
                  <a16:creationId xmlns:a16="http://schemas.microsoft.com/office/drawing/2014/main" id="{00000000-0008-0000-0300-00001D000000}"/>
                </a:ext>
              </a:extLst>
            </xdr:cNvPr>
            <xdr:cNvSpPr/>
          </xdr:nvSpPr>
          <xdr:spPr>
            <a:xfrm rot="668061">
              <a:off x="4376350" y="3097471"/>
              <a:ext cx="1427436" cy="1129665"/>
            </a:xfrm>
            <a:custGeom>
              <a:avLst/>
              <a:gdLst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48882 w 1371600"/>
                <a:gd name="connsiteY1" fmla="*/ 0 h 1143000"/>
                <a:gd name="connsiteX2" fmla="*/ 1371600 w 1371600"/>
                <a:gd name="connsiteY2" fmla="*/ 0 h 1143000"/>
                <a:gd name="connsiteX3" fmla="*/ 622718 w 1371600"/>
                <a:gd name="connsiteY3" fmla="*/ 748882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48882 w 1371600"/>
                <a:gd name="connsiteY1" fmla="*/ 0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622718 w 1371600"/>
                <a:gd name="connsiteY8" fmla="*/ 748882 h 1143000"/>
                <a:gd name="connsiteX9" fmla="*/ 1371600 w 1371600"/>
                <a:gd name="connsiteY9" fmla="*/ 0 h 1143000"/>
                <a:gd name="connsiteX10" fmla="*/ 622718 w 1371600"/>
                <a:gd name="connsiteY10" fmla="*/ 748882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48882 w 1371600"/>
                <a:gd name="connsiteY1" fmla="*/ 0 h 1143000"/>
                <a:gd name="connsiteX2" fmla="*/ 1371600 w 1371600"/>
                <a:gd name="connsiteY2" fmla="*/ 0 h 1143000"/>
                <a:gd name="connsiteX3" fmla="*/ 622718 w 1371600"/>
                <a:gd name="connsiteY3" fmla="*/ 748882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622718 w 1371600"/>
                <a:gd name="connsiteY8" fmla="*/ 748882 h 1143000"/>
                <a:gd name="connsiteX9" fmla="*/ 1371600 w 1371600"/>
                <a:gd name="connsiteY9" fmla="*/ 0 h 1143000"/>
                <a:gd name="connsiteX10" fmla="*/ 622718 w 1371600"/>
                <a:gd name="connsiteY10" fmla="*/ 748882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22718 w 1371600"/>
                <a:gd name="connsiteY3" fmla="*/ 748882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622718 w 1371600"/>
                <a:gd name="connsiteY8" fmla="*/ 748882 h 1143000"/>
                <a:gd name="connsiteX9" fmla="*/ 1371600 w 1371600"/>
                <a:gd name="connsiteY9" fmla="*/ 0 h 1143000"/>
                <a:gd name="connsiteX10" fmla="*/ 622718 w 1371600"/>
                <a:gd name="connsiteY10" fmla="*/ 748882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22718 w 1371600"/>
                <a:gd name="connsiteY3" fmla="*/ 748882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622718 w 1371600"/>
                <a:gd name="connsiteY8" fmla="*/ 748882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22718 w 1371600"/>
                <a:gd name="connsiteY3" fmla="*/ 748882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5462 w 1371600"/>
                <a:gd name="connsiteY7" fmla="*/ 776629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9104 w 1371600"/>
                <a:gd name="connsiteY7" fmla="*/ 795128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7763 w 1371600"/>
                <a:gd name="connsiteY7" fmla="*/ 775977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7854 w 1371600"/>
                <a:gd name="connsiteY0" fmla="*/ 77645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7854 w 1371600"/>
                <a:gd name="connsiteY6" fmla="*/ 776459 h 1143000"/>
                <a:gd name="connsiteX7" fmla="*/ 7763 w 1371600"/>
                <a:gd name="connsiteY7" fmla="*/ 775977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5518 w 1371600"/>
                <a:gd name="connsiteY0" fmla="*/ 77691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5518 w 1371600"/>
                <a:gd name="connsiteY4" fmla="*/ 776919 h 1143000"/>
                <a:gd name="connsiteX0" fmla="*/ 7854 w 1371600"/>
                <a:gd name="connsiteY0" fmla="*/ 77645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7854 w 1371600"/>
                <a:gd name="connsiteY6" fmla="*/ 776459 h 1143000"/>
                <a:gd name="connsiteX7" fmla="*/ 7763 w 1371600"/>
                <a:gd name="connsiteY7" fmla="*/ 775977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5059 w 1371600"/>
                <a:gd name="connsiteY0" fmla="*/ 774583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5059 w 1371600"/>
                <a:gd name="connsiteY4" fmla="*/ 774583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5518 w 1371600"/>
                <a:gd name="connsiteY0" fmla="*/ 77691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5518 w 1371600"/>
                <a:gd name="connsiteY4" fmla="*/ 776919 h 1143000"/>
                <a:gd name="connsiteX0" fmla="*/ 7854 w 1371600"/>
                <a:gd name="connsiteY0" fmla="*/ 77645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7854 w 1371600"/>
                <a:gd name="connsiteY6" fmla="*/ 776459 h 1143000"/>
                <a:gd name="connsiteX7" fmla="*/ 7763 w 1371600"/>
                <a:gd name="connsiteY7" fmla="*/ 775977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5059 w 1371600"/>
                <a:gd name="connsiteY0" fmla="*/ 774583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5059 w 1371600"/>
                <a:gd name="connsiteY4" fmla="*/ 774583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5518 w 1371600"/>
                <a:gd name="connsiteY0" fmla="*/ 77691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5518 w 1371600"/>
                <a:gd name="connsiteY4" fmla="*/ 776919 h 1143000"/>
                <a:gd name="connsiteX0" fmla="*/ 7854 w 1371600"/>
                <a:gd name="connsiteY0" fmla="*/ 77645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60746 w 1371600"/>
                <a:gd name="connsiteY5" fmla="*/ 1131044 h 1143000"/>
                <a:gd name="connsiteX6" fmla="*/ 7854 w 1371600"/>
                <a:gd name="connsiteY6" fmla="*/ 776459 h 1143000"/>
                <a:gd name="connsiteX7" fmla="*/ 7763 w 1371600"/>
                <a:gd name="connsiteY7" fmla="*/ 775977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35 w 1366576"/>
                <a:gd name="connsiteY0" fmla="*/ 774583 h 1131044"/>
                <a:gd name="connsiteX1" fmla="*/ 597670 w 1366576"/>
                <a:gd name="connsiteY1" fmla="*/ 647139 h 1131044"/>
                <a:gd name="connsiteX2" fmla="*/ 601458 w 1366576"/>
                <a:gd name="connsiteY2" fmla="*/ 1011689 h 1131044"/>
                <a:gd name="connsiteX3" fmla="*/ 57599 w 1366576"/>
                <a:gd name="connsiteY3" fmla="*/ 1128249 h 1131044"/>
                <a:gd name="connsiteX4" fmla="*/ 35 w 1366576"/>
                <a:gd name="connsiteY4" fmla="*/ 774583 h 1131044"/>
                <a:gd name="connsiteX0" fmla="*/ 599490 w 1366576"/>
                <a:gd name="connsiteY0" fmla="*/ 656388 h 1131044"/>
                <a:gd name="connsiteX1" fmla="*/ 1366576 w 1366576"/>
                <a:gd name="connsiteY1" fmla="*/ 0 h 1131044"/>
                <a:gd name="connsiteX2" fmla="*/ 1366576 w 1366576"/>
                <a:gd name="connsiteY2" fmla="*/ 394118 h 1131044"/>
                <a:gd name="connsiteX3" fmla="*/ 605098 w 1366576"/>
                <a:gd name="connsiteY3" fmla="*/ 1030187 h 1131044"/>
                <a:gd name="connsiteX4" fmla="*/ 599490 w 1366576"/>
                <a:gd name="connsiteY4" fmla="*/ 656388 h 1131044"/>
                <a:gd name="connsiteX0" fmla="*/ 494 w 1366576"/>
                <a:gd name="connsiteY0" fmla="*/ 776919 h 1131044"/>
                <a:gd name="connsiteX1" fmla="*/ 765703 w 1366576"/>
                <a:gd name="connsiteY1" fmla="*/ 110992 h 1131044"/>
                <a:gd name="connsiteX2" fmla="*/ 1366576 w 1366576"/>
                <a:gd name="connsiteY2" fmla="*/ 0 h 1131044"/>
                <a:gd name="connsiteX3" fmla="*/ 601310 w 1366576"/>
                <a:gd name="connsiteY3" fmla="*/ 665637 h 1131044"/>
                <a:gd name="connsiteX4" fmla="*/ 494 w 1366576"/>
                <a:gd name="connsiteY4" fmla="*/ 776919 h 1131044"/>
                <a:gd name="connsiteX0" fmla="*/ 2830 w 1366576"/>
                <a:gd name="connsiteY0" fmla="*/ 776459 h 1131044"/>
                <a:gd name="connsiteX1" fmla="*/ 765703 w 1366576"/>
                <a:gd name="connsiteY1" fmla="*/ 110992 h 1131044"/>
                <a:gd name="connsiteX2" fmla="*/ 1366576 w 1366576"/>
                <a:gd name="connsiteY2" fmla="*/ 0 h 1131044"/>
                <a:gd name="connsiteX3" fmla="*/ 1366576 w 1366576"/>
                <a:gd name="connsiteY3" fmla="*/ 394118 h 1131044"/>
                <a:gd name="connsiteX4" fmla="*/ 594029 w 1366576"/>
                <a:gd name="connsiteY4" fmla="*/ 1022758 h 1131044"/>
                <a:gd name="connsiteX5" fmla="*/ 55722 w 1366576"/>
                <a:gd name="connsiteY5" fmla="*/ 1131044 h 1131044"/>
                <a:gd name="connsiteX6" fmla="*/ 2830 w 1366576"/>
                <a:gd name="connsiteY6" fmla="*/ 776459 h 1131044"/>
                <a:gd name="connsiteX7" fmla="*/ 2739 w 1366576"/>
                <a:gd name="connsiteY7" fmla="*/ 775977 h 1131044"/>
                <a:gd name="connsiteX8" fmla="*/ 580991 w 1366576"/>
                <a:gd name="connsiteY8" fmla="*/ 660029 h 1131044"/>
                <a:gd name="connsiteX9" fmla="*/ 1366576 w 1366576"/>
                <a:gd name="connsiteY9" fmla="*/ 0 h 1131044"/>
                <a:gd name="connsiteX10" fmla="*/ 586600 w 1366576"/>
                <a:gd name="connsiteY10" fmla="*/ 639710 h 1131044"/>
                <a:gd name="connsiteX11" fmla="*/ 612528 w 1366576"/>
                <a:gd name="connsiteY11" fmla="*/ 1019118 h 1131044"/>
                <a:gd name="connsiteX0" fmla="*/ 35 w 1366576"/>
                <a:gd name="connsiteY0" fmla="*/ 774583 h 1129665"/>
                <a:gd name="connsiteX1" fmla="*/ 597670 w 1366576"/>
                <a:gd name="connsiteY1" fmla="*/ 647139 h 1129665"/>
                <a:gd name="connsiteX2" fmla="*/ 601458 w 1366576"/>
                <a:gd name="connsiteY2" fmla="*/ 1011689 h 1129665"/>
                <a:gd name="connsiteX3" fmla="*/ 57599 w 1366576"/>
                <a:gd name="connsiteY3" fmla="*/ 1128249 h 1129665"/>
                <a:gd name="connsiteX4" fmla="*/ 35 w 1366576"/>
                <a:gd name="connsiteY4" fmla="*/ 774583 h 1129665"/>
                <a:gd name="connsiteX0" fmla="*/ 599490 w 1366576"/>
                <a:gd name="connsiteY0" fmla="*/ 656388 h 1129665"/>
                <a:gd name="connsiteX1" fmla="*/ 1366576 w 1366576"/>
                <a:gd name="connsiteY1" fmla="*/ 0 h 1129665"/>
                <a:gd name="connsiteX2" fmla="*/ 1366576 w 1366576"/>
                <a:gd name="connsiteY2" fmla="*/ 394118 h 1129665"/>
                <a:gd name="connsiteX3" fmla="*/ 605098 w 1366576"/>
                <a:gd name="connsiteY3" fmla="*/ 1030187 h 1129665"/>
                <a:gd name="connsiteX4" fmla="*/ 599490 w 1366576"/>
                <a:gd name="connsiteY4" fmla="*/ 656388 h 1129665"/>
                <a:gd name="connsiteX0" fmla="*/ 494 w 1366576"/>
                <a:gd name="connsiteY0" fmla="*/ 77691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601310 w 1366576"/>
                <a:gd name="connsiteY3" fmla="*/ 665637 h 1129665"/>
                <a:gd name="connsiteX4" fmla="*/ 494 w 1366576"/>
                <a:gd name="connsiteY4" fmla="*/ 776919 h 1129665"/>
                <a:gd name="connsiteX0" fmla="*/ 2830 w 1366576"/>
                <a:gd name="connsiteY0" fmla="*/ 77645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1366576 w 1366576"/>
                <a:gd name="connsiteY3" fmla="*/ 394118 h 1129665"/>
                <a:gd name="connsiteX4" fmla="*/ 594029 w 1366576"/>
                <a:gd name="connsiteY4" fmla="*/ 1022758 h 1129665"/>
                <a:gd name="connsiteX5" fmla="*/ 62732 w 1366576"/>
                <a:gd name="connsiteY5" fmla="*/ 1129665 h 1129665"/>
                <a:gd name="connsiteX6" fmla="*/ 2830 w 1366576"/>
                <a:gd name="connsiteY6" fmla="*/ 776459 h 1129665"/>
                <a:gd name="connsiteX7" fmla="*/ 2739 w 1366576"/>
                <a:gd name="connsiteY7" fmla="*/ 775977 h 1129665"/>
                <a:gd name="connsiteX8" fmla="*/ 580991 w 1366576"/>
                <a:gd name="connsiteY8" fmla="*/ 660029 h 1129665"/>
                <a:gd name="connsiteX9" fmla="*/ 1366576 w 1366576"/>
                <a:gd name="connsiteY9" fmla="*/ 0 h 1129665"/>
                <a:gd name="connsiteX10" fmla="*/ 586600 w 1366576"/>
                <a:gd name="connsiteY10" fmla="*/ 639710 h 1129665"/>
                <a:gd name="connsiteX11" fmla="*/ 612528 w 1366576"/>
                <a:gd name="connsiteY11" fmla="*/ 1019118 h 1129665"/>
                <a:gd name="connsiteX0" fmla="*/ 35 w 1366576"/>
                <a:gd name="connsiteY0" fmla="*/ 774583 h 1129665"/>
                <a:gd name="connsiteX1" fmla="*/ 597670 w 1366576"/>
                <a:gd name="connsiteY1" fmla="*/ 647139 h 1129665"/>
                <a:gd name="connsiteX2" fmla="*/ 601458 w 1366576"/>
                <a:gd name="connsiteY2" fmla="*/ 1011689 h 1129665"/>
                <a:gd name="connsiteX3" fmla="*/ 57599 w 1366576"/>
                <a:gd name="connsiteY3" fmla="*/ 1128249 h 1129665"/>
                <a:gd name="connsiteX4" fmla="*/ 35 w 1366576"/>
                <a:gd name="connsiteY4" fmla="*/ 774583 h 1129665"/>
                <a:gd name="connsiteX0" fmla="*/ 599490 w 1366576"/>
                <a:gd name="connsiteY0" fmla="*/ 656388 h 1129665"/>
                <a:gd name="connsiteX1" fmla="*/ 1366576 w 1366576"/>
                <a:gd name="connsiteY1" fmla="*/ 0 h 1129665"/>
                <a:gd name="connsiteX2" fmla="*/ 1366576 w 1366576"/>
                <a:gd name="connsiteY2" fmla="*/ 394118 h 1129665"/>
                <a:gd name="connsiteX3" fmla="*/ 605098 w 1366576"/>
                <a:gd name="connsiteY3" fmla="*/ 1030187 h 1129665"/>
                <a:gd name="connsiteX4" fmla="*/ 599490 w 1366576"/>
                <a:gd name="connsiteY4" fmla="*/ 656388 h 1129665"/>
                <a:gd name="connsiteX0" fmla="*/ 494 w 1366576"/>
                <a:gd name="connsiteY0" fmla="*/ 77691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601310 w 1366576"/>
                <a:gd name="connsiteY3" fmla="*/ 665637 h 1129665"/>
                <a:gd name="connsiteX4" fmla="*/ 494 w 1366576"/>
                <a:gd name="connsiteY4" fmla="*/ 776919 h 1129665"/>
                <a:gd name="connsiteX0" fmla="*/ 2830 w 1366576"/>
                <a:gd name="connsiteY0" fmla="*/ 77645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1366576 w 1366576"/>
                <a:gd name="connsiteY3" fmla="*/ 394118 h 1129665"/>
                <a:gd name="connsiteX4" fmla="*/ 594029 w 1366576"/>
                <a:gd name="connsiteY4" fmla="*/ 1022758 h 1129665"/>
                <a:gd name="connsiteX5" fmla="*/ 62732 w 1366576"/>
                <a:gd name="connsiteY5" fmla="*/ 1129665 h 1129665"/>
                <a:gd name="connsiteX6" fmla="*/ 2830 w 1366576"/>
                <a:gd name="connsiteY6" fmla="*/ 776459 h 1129665"/>
                <a:gd name="connsiteX7" fmla="*/ 2739 w 1366576"/>
                <a:gd name="connsiteY7" fmla="*/ 775977 h 1129665"/>
                <a:gd name="connsiteX8" fmla="*/ 580991 w 1366576"/>
                <a:gd name="connsiteY8" fmla="*/ 660029 h 1129665"/>
                <a:gd name="connsiteX9" fmla="*/ 1366576 w 1366576"/>
                <a:gd name="connsiteY9" fmla="*/ 0 h 1129665"/>
                <a:gd name="connsiteX10" fmla="*/ 586600 w 1366576"/>
                <a:gd name="connsiteY10" fmla="*/ 639710 h 1129665"/>
                <a:gd name="connsiteX11" fmla="*/ 661593 w 1366576"/>
                <a:gd name="connsiteY11" fmla="*/ 1009461 h 1129665"/>
                <a:gd name="connsiteX0" fmla="*/ 35 w 1366576"/>
                <a:gd name="connsiteY0" fmla="*/ 774583 h 1129665"/>
                <a:gd name="connsiteX1" fmla="*/ 597670 w 1366576"/>
                <a:gd name="connsiteY1" fmla="*/ 647139 h 1129665"/>
                <a:gd name="connsiteX2" fmla="*/ 601458 w 1366576"/>
                <a:gd name="connsiteY2" fmla="*/ 1011689 h 1129665"/>
                <a:gd name="connsiteX3" fmla="*/ 57599 w 1366576"/>
                <a:gd name="connsiteY3" fmla="*/ 1128249 h 1129665"/>
                <a:gd name="connsiteX4" fmla="*/ 35 w 1366576"/>
                <a:gd name="connsiteY4" fmla="*/ 774583 h 1129665"/>
                <a:gd name="connsiteX0" fmla="*/ 599490 w 1366576"/>
                <a:gd name="connsiteY0" fmla="*/ 656388 h 1129665"/>
                <a:gd name="connsiteX1" fmla="*/ 1366576 w 1366576"/>
                <a:gd name="connsiteY1" fmla="*/ 0 h 1129665"/>
                <a:gd name="connsiteX2" fmla="*/ 1366576 w 1366576"/>
                <a:gd name="connsiteY2" fmla="*/ 394118 h 1129665"/>
                <a:gd name="connsiteX3" fmla="*/ 605098 w 1366576"/>
                <a:gd name="connsiteY3" fmla="*/ 1030187 h 1129665"/>
                <a:gd name="connsiteX4" fmla="*/ 599490 w 1366576"/>
                <a:gd name="connsiteY4" fmla="*/ 656388 h 1129665"/>
                <a:gd name="connsiteX0" fmla="*/ 494 w 1366576"/>
                <a:gd name="connsiteY0" fmla="*/ 77691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601310 w 1366576"/>
                <a:gd name="connsiteY3" fmla="*/ 665637 h 1129665"/>
                <a:gd name="connsiteX4" fmla="*/ 494 w 1366576"/>
                <a:gd name="connsiteY4" fmla="*/ 776919 h 1129665"/>
                <a:gd name="connsiteX0" fmla="*/ 2830 w 1366576"/>
                <a:gd name="connsiteY0" fmla="*/ 77645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1366576 w 1366576"/>
                <a:gd name="connsiteY3" fmla="*/ 394118 h 1129665"/>
                <a:gd name="connsiteX4" fmla="*/ 651023 w 1366576"/>
                <a:gd name="connsiteY4" fmla="*/ 1016394 h 1129665"/>
                <a:gd name="connsiteX5" fmla="*/ 62732 w 1366576"/>
                <a:gd name="connsiteY5" fmla="*/ 1129665 h 1129665"/>
                <a:gd name="connsiteX6" fmla="*/ 2830 w 1366576"/>
                <a:gd name="connsiteY6" fmla="*/ 776459 h 1129665"/>
                <a:gd name="connsiteX7" fmla="*/ 2739 w 1366576"/>
                <a:gd name="connsiteY7" fmla="*/ 775977 h 1129665"/>
                <a:gd name="connsiteX8" fmla="*/ 580991 w 1366576"/>
                <a:gd name="connsiteY8" fmla="*/ 660029 h 1129665"/>
                <a:gd name="connsiteX9" fmla="*/ 1366576 w 1366576"/>
                <a:gd name="connsiteY9" fmla="*/ 0 h 1129665"/>
                <a:gd name="connsiteX10" fmla="*/ 586600 w 1366576"/>
                <a:gd name="connsiteY10" fmla="*/ 639710 h 1129665"/>
                <a:gd name="connsiteX11" fmla="*/ 661593 w 1366576"/>
                <a:gd name="connsiteY11" fmla="*/ 1009461 h 1129665"/>
                <a:gd name="connsiteX0" fmla="*/ 35 w 1366576"/>
                <a:gd name="connsiteY0" fmla="*/ 774583 h 1129665"/>
                <a:gd name="connsiteX1" fmla="*/ 597670 w 1366576"/>
                <a:gd name="connsiteY1" fmla="*/ 647139 h 1129665"/>
                <a:gd name="connsiteX2" fmla="*/ 660291 w 1366576"/>
                <a:gd name="connsiteY2" fmla="*/ 1014672 h 1129665"/>
                <a:gd name="connsiteX3" fmla="*/ 57599 w 1366576"/>
                <a:gd name="connsiteY3" fmla="*/ 1128249 h 1129665"/>
                <a:gd name="connsiteX4" fmla="*/ 35 w 1366576"/>
                <a:gd name="connsiteY4" fmla="*/ 774583 h 1129665"/>
                <a:gd name="connsiteX0" fmla="*/ 599490 w 1366576"/>
                <a:gd name="connsiteY0" fmla="*/ 656388 h 1129665"/>
                <a:gd name="connsiteX1" fmla="*/ 1366576 w 1366576"/>
                <a:gd name="connsiteY1" fmla="*/ 0 h 1129665"/>
                <a:gd name="connsiteX2" fmla="*/ 1366576 w 1366576"/>
                <a:gd name="connsiteY2" fmla="*/ 394118 h 1129665"/>
                <a:gd name="connsiteX3" fmla="*/ 605098 w 1366576"/>
                <a:gd name="connsiteY3" fmla="*/ 1030187 h 1129665"/>
                <a:gd name="connsiteX4" fmla="*/ 599490 w 1366576"/>
                <a:gd name="connsiteY4" fmla="*/ 656388 h 1129665"/>
                <a:gd name="connsiteX0" fmla="*/ 494 w 1366576"/>
                <a:gd name="connsiteY0" fmla="*/ 77691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601310 w 1366576"/>
                <a:gd name="connsiteY3" fmla="*/ 665637 h 1129665"/>
                <a:gd name="connsiteX4" fmla="*/ 494 w 1366576"/>
                <a:gd name="connsiteY4" fmla="*/ 776919 h 1129665"/>
                <a:gd name="connsiteX0" fmla="*/ 2830 w 1366576"/>
                <a:gd name="connsiteY0" fmla="*/ 77645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1366576 w 1366576"/>
                <a:gd name="connsiteY3" fmla="*/ 394118 h 1129665"/>
                <a:gd name="connsiteX4" fmla="*/ 651023 w 1366576"/>
                <a:gd name="connsiteY4" fmla="*/ 1016394 h 1129665"/>
                <a:gd name="connsiteX5" fmla="*/ 62732 w 1366576"/>
                <a:gd name="connsiteY5" fmla="*/ 1129665 h 1129665"/>
                <a:gd name="connsiteX6" fmla="*/ 2830 w 1366576"/>
                <a:gd name="connsiteY6" fmla="*/ 776459 h 1129665"/>
                <a:gd name="connsiteX7" fmla="*/ 2739 w 1366576"/>
                <a:gd name="connsiteY7" fmla="*/ 775977 h 1129665"/>
                <a:gd name="connsiteX8" fmla="*/ 580991 w 1366576"/>
                <a:gd name="connsiteY8" fmla="*/ 660029 h 1129665"/>
                <a:gd name="connsiteX9" fmla="*/ 1366576 w 1366576"/>
                <a:gd name="connsiteY9" fmla="*/ 0 h 1129665"/>
                <a:gd name="connsiteX10" fmla="*/ 586600 w 1366576"/>
                <a:gd name="connsiteY10" fmla="*/ 639710 h 1129665"/>
                <a:gd name="connsiteX11" fmla="*/ 661593 w 1366576"/>
                <a:gd name="connsiteY11" fmla="*/ 1009461 h 1129665"/>
                <a:gd name="connsiteX0" fmla="*/ 35 w 1366576"/>
                <a:gd name="connsiteY0" fmla="*/ 774583 h 1129665"/>
                <a:gd name="connsiteX1" fmla="*/ 597670 w 1366576"/>
                <a:gd name="connsiteY1" fmla="*/ 647139 h 1129665"/>
                <a:gd name="connsiteX2" fmla="*/ 660291 w 1366576"/>
                <a:gd name="connsiteY2" fmla="*/ 1014672 h 1129665"/>
                <a:gd name="connsiteX3" fmla="*/ 57599 w 1366576"/>
                <a:gd name="connsiteY3" fmla="*/ 1128249 h 1129665"/>
                <a:gd name="connsiteX4" fmla="*/ 35 w 1366576"/>
                <a:gd name="connsiteY4" fmla="*/ 774583 h 1129665"/>
                <a:gd name="connsiteX0" fmla="*/ 599490 w 1366576"/>
                <a:gd name="connsiteY0" fmla="*/ 656388 h 1129665"/>
                <a:gd name="connsiteX1" fmla="*/ 1366576 w 1366576"/>
                <a:gd name="connsiteY1" fmla="*/ 0 h 1129665"/>
                <a:gd name="connsiteX2" fmla="*/ 1366576 w 1366576"/>
                <a:gd name="connsiteY2" fmla="*/ 394118 h 1129665"/>
                <a:gd name="connsiteX3" fmla="*/ 652286 w 1366576"/>
                <a:gd name="connsiteY3" fmla="*/ 1023326 h 1129665"/>
                <a:gd name="connsiteX4" fmla="*/ 599490 w 1366576"/>
                <a:gd name="connsiteY4" fmla="*/ 656388 h 1129665"/>
                <a:gd name="connsiteX0" fmla="*/ 494 w 1366576"/>
                <a:gd name="connsiteY0" fmla="*/ 77691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601310 w 1366576"/>
                <a:gd name="connsiteY3" fmla="*/ 665637 h 1129665"/>
                <a:gd name="connsiteX4" fmla="*/ 494 w 1366576"/>
                <a:gd name="connsiteY4" fmla="*/ 776919 h 1129665"/>
                <a:gd name="connsiteX0" fmla="*/ 2830 w 1366576"/>
                <a:gd name="connsiteY0" fmla="*/ 77645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1366576 w 1366576"/>
                <a:gd name="connsiteY3" fmla="*/ 394118 h 1129665"/>
                <a:gd name="connsiteX4" fmla="*/ 651023 w 1366576"/>
                <a:gd name="connsiteY4" fmla="*/ 1016394 h 1129665"/>
                <a:gd name="connsiteX5" fmla="*/ 62732 w 1366576"/>
                <a:gd name="connsiteY5" fmla="*/ 1129665 h 1129665"/>
                <a:gd name="connsiteX6" fmla="*/ 2830 w 1366576"/>
                <a:gd name="connsiteY6" fmla="*/ 776459 h 1129665"/>
                <a:gd name="connsiteX7" fmla="*/ 2739 w 1366576"/>
                <a:gd name="connsiteY7" fmla="*/ 775977 h 1129665"/>
                <a:gd name="connsiteX8" fmla="*/ 580991 w 1366576"/>
                <a:gd name="connsiteY8" fmla="*/ 660029 h 1129665"/>
                <a:gd name="connsiteX9" fmla="*/ 1366576 w 1366576"/>
                <a:gd name="connsiteY9" fmla="*/ 0 h 1129665"/>
                <a:gd name="connsiteX10" fmla="*/ 586600 w 1366576"/>
                <a:gd name="connsiteY10" fmla="*/ 639710 h 1129665"/>
                <a:gd name="connsiteX11" fmla="*/ 661593 w 1366576"/>
                <a:gd name="connsiteY11" fmla="*/ 1009461 h 1129665"/>
                <a:gd name="connsiteX0" fmla="*/ 35 w 1425099"/>
                <a:gd name="connsiteY0" fmla="*/ 774583 h 1129665"/>
                <a:gd name="connsiteX1" fmla="*/ 597670 w 1425099"/>
                <a:gd name="connsiteY1" fmla="*/ 647139 h 1129665"/>
                <a:gd name="connsiteX2" fmla="*/ 660291 w 1425099"/>
                <a:gd name="connsiteY2" fmla="*/ 1014672 h 1129665"/>
                <a:gd name="connsiteX3" fmla="*/ 57599 w 1425099"/>
                <a:gd name="connsiteY3" fmla="*/ 1128249 h 1129665"/>
                <a:gd name="connsiteX4" fmla="*/ 35 w 1425099"/>
                <a:gd name="connsiteY4" fmla="*/ 774583 h 1129665"/>
                <a:gd name="connsiteX0" fmla="*/ 599490 w 1425099"/>
                <a:gd name="connsiteY0" fmla="*/ 656388 h 1129665"/>
                <a:gd name="connsiteX1" fmla="*/ 1366576 w 1425099"/>
                <a:gd name="connsiteY1" fmla="*/ 0 h 1129665"/>
                <a:gd name="connsiteX2" fmla="*/ 1366576 w 1425099"/>
                <a:gd name="connsiteY2" fmla="*/ 394118 h 1129665"/>
                <a:gd name="connsiteX3" fmla="*/ 652286 w 1425099"/>
                <a:gd name="connsiteY3" fmla="*/ 1023326 h 1129665"/>
                <a:gd name="connsiteX4" fmla="*/ 599490 w 1425099"/>
                <a:gd name="connsiteY4" fmla="*/ 656388 h 1129665"/>
                <a:gd name="connsiteX0" fmla="*/ 494 w 1425099"/>
                <a:gd name="connsiteY0" fmla="*/ 776919 h 1129665"/>
                <a:gd name="connsiteX1" fmla="*/ 765703 w 1425099"/>
                <a:gd name="connsiteY1" fmla="*/ 110992 h 1129665"/>
                <a:gd name="connsiteX2" fmla="*/ 1366576 w 1425099"/>
                <a:gd name="connsiteY2" fmla="*/ 0 h 1129665"/>
                <a:gd name="connsiteX3" fmla="*/ 601310 w 1425099"/>
                <a:gd name="connsiteY3" fmla="*/ 665637 h 1129665"/>
                <a:gd name="connsiteX4" fmla="*/ 494 w 1425099"/>
                <a:gd name="connsiteY4" fmla="*/ 776919 h 1129665"/>
                <a:gd name="connsiteX0" fmla="*/ 2830 w 1425099"/>
                <a:gd name="connsiteY0" fmla="*/ 776459 h 1129665"/>
                <a:gd name="connsiteX1" fmla="*/ 765703 w 1425099"/>
                <a:gd name="connsiteY1" fmla="*/ 110992 h 1129665"/>
                <a:gd name="connsiteX2" fmla="*/ 1366576 w 1425099"/>
                <a:gd name="connsiteY2" fmla="*/ 0 h 1129665"/>
                <a:gd name="connsiteX3" fmla="*/ 1425099 w 1425099"/>
                <a:gd name="connsiteY3" fmla="*/ 346195 h 1129665"/>
                <a:gd name="connsiteX4" fmla="*/ 651023 w 1425099"/>
                <a:gd name="connsiteY4" fmla="*/ 1016394 h 1129665"/>
                <a:gd name="connsiteX5" fmla="*/ 62732 w 1425099"/>
                <a:gd name="connsiteY5" fmla="*/ 1129665 h 1129665"/>
                <a:gd name="connsiteX6" fmla="*/ 2830 w 1425099"/>
                <a:gd name="connsiteY6" fmla="*/ 776459 h 1129665"/>
                <a:gd name="connsiteX7" fmla="*/ 2739 w 1425099"/>
                <a:gd name="connsiteY7" fmla="*/ 775977 h 1129665"/>
                <a:gd name="connsiteX8" fmla="*/ 580991 w 1425099"/>
                <a:gd name="connsiteY8" fmla="*/ 660029 h 1129665"/>
                <a:gd name="connsiteX9" fmla="*/ 1366576 w 1425099"/>
                <a:gd name="connsiteY9" fmla="*/ 0 h 1129665"/>
                <a:gd name="connsiteX10" fmla="*/ 586600 w 1425099"/>
                <a:gd name="connsiteY10" fmla="*/ 639710 h 1129665"/>
                <a:gd name="connsiteX11" fmla="*/ 661593 w 1425099"/>
                <a:gd name="connsiteY11" fmla="*/ 1009461 h 1129665"/>
                <a:gd name="connsiteX0" fmla="*/ 35 w 1427436"/>
                <a:gd name="connsiteY0" fmla="*/ 774583 h 1129665"/>
                <a:gd name="connsiteX1" fmla="*/ 597670 w 1427436"/>
                <a:gd name="connsiteY1" fmla="*/ 647139 h 1129665"/>
                <a:gd name="connsiteX2" fmla="*/ 660291 w 1427436"/>
                <a:gd name="connsiteY2" fmla="*/ 1014672 h 1129665"/>
                <a:gd name="connsiteX3" fmla="*/ 57599 w 1427436"/>
                <a:gd name="connsiteY3" fmla="*/ 1128249 h 1129665"/>
                <a:gd name="connsiteX4" fmla="*/ 35 w 1427436"/>
                <a:gd name="connsiteY4" fmla="*/ 774583 h 1129665"/>
                <a:gd name="connsiteX0" fmla="*/ 599490 w 1427436"/>
                <a:gd name="connsiteY0" fmla="*/ 656388 h 1129665"/>
                <a:gd name="connsiteX1" fmla="*/ 1366576 w 1427436"/>
                <a:gd name="connsiteY1" fmla="*/ 0 h 1129665"/>
                <a:gd name="connsiteX2" fmla="*/ 1427436 w 1427436"/>
                <a:gd name="connsiteY2" fmla="*/ 345736 h 1129665"/>
                <a:gd name="connsiteX3" fmla="*/ 652286 w 1427436"/>
                <a:gd name="connsiteY3" fmla="*/ 1023326 h 1129665"/>
                <a:gd name="connsiteX4" fmla="*/ 599490 w 1427436"/>
                <a:gd name="connsiteY4" fmla="*/ 656388 h 1129665"/>
                <a:gd name="connsiteX0" fmla="*/ 494 w 1427436"/>
                <a:gd name="connsiteY0" fmla="*/ 776919 h 1129665"/>
                <a:gd name="connsiteX1" fmla="*/ 765703 w 1427436"/>
                <a:gd name="connsiteY1" fmla="*/ 110992 h 1129665"/>
                <a:gd name="connsiteX2" fmla="*/ 1366576 w 1427436"/>
                <a:gd name="connsiteY2" fmla="*/ 0 h 1129665"/>
                <a:gd name="connsiteX3" fmla="*/ 601310 w 1427436"/>
                <a:gd name="connsiteY3" fmla="*/ 665637 h 1129665"/>
                <a:gd name="connsiteX4" fmla="*/ 494 w 1427436"/>
                <a:gd name="connsiteY4" fmla="*/ 776919 h 1129665"/>
                <a:gd name="connsiteX0" fmla="*/ 2830 w 1427436"/>
                <a:gd name="connsiteY0" fmla="*/ 776459 h 1129665"/>
                <a:gd name="connsiteX1" fmla="*/ 765703 w 1427436"/>
                <a:gd name="connsiteY1" fmla="*/ 110992 h 1129665"/>
                <a:gd name="connsiteX2" fmla="*/ 1366576 w 1427436"/>
                <a:gd name="connsiteY2" fmla="*/ 0 h 1129665"/>
                <a:gd name="connsiteX3" fmla="*/ 1425099 w 1427436"/>
                <a:gd name="connsiteY3" fmla="*/ 346195 h 1129665"/>
                <a:gd name="connsiteX4" fmla="*/ 651023 w 1427436"/>
                <a:gd name="connsiteY4" fmla="*/ 1016394 h 1129665"/>
                <a:gd name="connsiteX5" fmla="*/ 62732 w 1427436"/>
                <a:gd name="connsiteY5" fmla="*/ 1129665 h 1129665"/>
                <a:gd name="connsiteX6" fmla="*/ 2830 w 1427436"/>
                <a:gd name="connsiteY6" fmla="*/ 776459 h 1129665"/>
                <a:gd name="connsiteX7" fmla="*/ 2739 w 1427436"/>
                <a:gd name="connsiteY7" fmla="*/ 775977 h 1129665"/>
                <a:gd name="connsiteX8" fmla="*/ 580991 w 1427436"/>
                <a:gd name="connsiteY8" fmla="*/ 660029 h 1129665"/>
                <a:gd name="connsiteX9" fmla="*/ 1366576 w 1427436"/>
                <a:gd name="connsiteY9" fmla="*/ 0 h 1129665"/>
                <a:gd name="connsiteX10" fmla="*/ 586600 w 1427436"/>
                <a:gd name="connsiteY10" fmla="*/ 639710 h 1129665"/>
                <a:gd name="connsiteX11" fmla="*/ 661593 w 1427436"/>
                <a:gd name="connsiteY11" fmla="*/ 1009461 h 112966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</a:cxnLst>
              <a:rect l="l" t="t" r="r" b="b"/>
              <a:pathLst>
                <a:path w="1427436" h="1129665" stroke="0" extrusionOk="0">
                  <a:moveTo>
                    <a:pt x="35" y="774583"/>
                  </a:moveTo>
                  <a:lnTo>
                    <a:pt x="597670" y="647139"/>
                  </a:lnTo>
                  <a:cubicBezTo>
                    <a:pt x="598933" y="768656"/>
                    <a:pt x="659028" y="893155"/>
                    <a:pt x="660291" y="1014672"/>
                  </a:cubicBezTo>
                  <a:lnTo>
                    <a:pt x="57599" y="1128249"/>
                  </a:lnTo>
                  <a:cubicBezTo>
                    <a:pt x="59285" y="1005443"/>
                    <a:pt x="-1651" y="897389"/>
                    <a:pt x="35" y="774583"/>
                  </a:cubicBezTo>
                  <a:close/>
                </a:path>
                <a:path w="1427436" h="1129665" fill="darkenLess" stroke="0" extrusionOk="0">
                  <a:moveTo>
                    <a:pt x="599490" y="656388"/>
                  </a:moveTo>
                  <a:lnTo>
                    <a:pt x="1366576" y="0"/>
                  </a:lnTo>
                  <a:lnTo>
                    <a:pt x="1427436" y="345736"/>
                  </a:lnTo>
                  <a:lnTo>
                    <a:pt x="652286" y="1023326"/>
                  </a:lnTo>
                  <a:cubicBezTo>
                    <a:pt x="650417" y="898726"/>
                    <a:pt x="601359" y="780988"/>
                    <a:pt x="599490" y="656388"/>
                  </a:cubicBezTo>
                  <a:close/>
                </a:path>
                <a:path w="1427436" h="1129665" fill="lightenLess" stroke="0" extrusionOk="0">
                  <a:moveTo>
                    <a:pt x="494" y="776919"/>
                  </a:moveTo>
                  <a:lnTo>
                    <a:pt x="765703" y="110992"/>
                  </a:lnTo>
                  <a:lnTo>
                    <a:pt x="1366576" y="0"/>
                  </a:lnTo>
                  <a:lnTo>
                    <a:pt x="601310" y="665637"/>
                  </a:lnTo>
                  <a:lnTo>
                    <a:pt x="494" y="776919"/>
                  </a:lnTo>
                  <a:close/>
                </a:path>
                <a:path w="1427436" h="1129665" fill="none" extrusionOk="0">
                  <a:moveTo>
                    <a:pt x="2830" y="776459"/>
                  </a:moveTo>
                  <a:lnTo>
                    <a:pt x="765703" y="110992"/>
                  </a:lnTo>
                  <a:lnTo>
                    <a:pt x="1366576" y="0"/>
                  </a:lnTo>
                  <a:lnTo>
                    <a:pt x="1425099" y="346195"/>
                  </a:lnTo>
                  <a:lnTo>
                    <a:pt x="651023" y="1016394"/>
                  </a:lnTo>
                  <a:lnTo>
                    <a:pt x="62732" y="1129665"/>
                  </a:lnTo>
                  <a:lnTo>
                    <a:pt x="2830" y="776459"/>
                  </a:lnTo>
                  <a:close/>
                  <a:moveTo>
                    <a:pt x="2739" y="775977"/>
                  </a:moveTo>
                  <a:lnTo>
                    <a:pt x="580991" y="660029"/>
                  </a:lnTo>
                  <a:lnTo>
                    <a:pt x="1366576" y="0"/>
                  </a:lnTo>
                  <a:moveTo>
                    <a:pt x="586600" y="639710"/>
                  </a:moveTo>
                  <a:lnTo>
                    <a:pt x="661593" y="1009461"/>
                  </a:lnTo>
                </a:path>
              </a:pathLst>
            </a:custGeom>
            <a:solidFill>
              <a:schemeClr val="accent1">
                <a:alpha val="50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1"/>
            </a:p>
          </xdr:txBody>
        </xdr:sp>
        <xdr:sp macro="" textlink="">
          <xdr:nvSpPr>
            <xdr:cNvPr id="30" name="Parallelogram 29">
              <a:extLst>
                <a:ext uri="{FF2B5EF4-FFF2-40B4-BE49-F238E27FC236}">
                  <a16:creationId xmlns:a16="http://schemas.microsoft.com/office/drawing/2014/main" id="{00000000-0008-0000-0300-00001E000000}"/>
                </a:ext>
              </a:extLst>
            </xdr:cNvPr>
            <xdr:cNvSpPr/>
          </xdr:nvSpPr>
          <xdr:spPr>
            <a:xfrm>
              <a:off x="4352925" y="3540919"/>
              <a:ext cx="931068" cy="185737"/>
            </a:xfrm>
            <a:prstGeom prst="parallelogram">
              <a:avLst>
                <a:gd name="adj" fmla="val 169934"/>
              </a:avLst>
            </a:prstGeom>
            <a:solidFill>
              <a:schemeClr val="accent5">
                <a:lumMod val="20000"/>
                <a:lumOff val="80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1"/>
            </a:p>
          </xdr:txBody>
        </xdr:sp>
        <xdr:sp macro="" textlink="">
          <xdr:nvSpPr>
            <xdr:cNvPr id="31" name="Parallelogram 30">
              <a:extLst>
                <a:ext uri="{FF2B5EF4-FFF2-40B4-BE49-F238E27FC236}">
                  <a16:creationId xmlns:a16="http://schemas.microsoft.com/office/drawing/2014/main" id="{00000000-0008-0000-0300-00001F000000}"/>
                </a:ext>
              </a:extLst>
            </xdr:cNvPr>
            <xdr:cNvSpPr/>
          </xdr:nvSpPr>
          <xdr:spPr>
            <a:xfrm>
              <a:off x="4922044" y="3231357"/>
              <a:ext cx="912019" cy="171450"/>
            </a:xfrm>
            <a:prstGeom prst="parallelogram">
              <a:avLst>
                <a:gd name="adj" fmla="val 169934"/>
              </a:avLst>
            </a:prstGeom>
            <a:solidFill>
              <a:schemeClr val="accent5">
                <a:lumMod val="20000"/>
                <a:lumOff val="80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1"/>
            </a:p>
          </xdr:txBody>
        </xdr:sp>
      </xdr:grpSp>
      <xdr:sp macro="" textlink="">
        <xdr:nvSpPr>
          <xdr:cNvPr id="28" name="Parallelogram 20">
            <a:extLst>
              <a:ext uri="{FF2B5EF4-FFF2-40B4-BE49-F238E27FC236}">
                <a16:creationId xmlns:a16="http://schemas.microsoft.com/office/drawing/2014/main" id="{00000000-0008-0000-0300-00001C000000}"/>
              </a:ext>
            </a:extLst>
          </xdr:cNvPr>
          <xdr:cNvSpPr/>
        </xdr:nvSpPr>
        <xdr:spPr>
          <a:xfrm>
            <a:off x="10447607" y="3710805"/>
            <a:ext cx="1027063" cy="473943"/>
          </a:xfrm>
          <a:custGeom>
            <a:avLst/>
            <a:gdLst>
              <a:gd name="connsiteX0" fmla="*/ 0 w 2514600"/>
              <a:gd name="connsiteY0" fmla="*/ 1635592 h 1635592"/>
              <a:gd name="connsiteX1" fmla="*/ 1366799 w 2514600"/>
              <a:gd name="connsiteY1" fmla="*/ 0 h 1635592"/>
              <a:gd name="connsiteX2" fmla="*/ 2514600 w 2514600"/>
              <a:gd name="connsiteY2" fmla="*/ 0 h 1635592"/>
              <a:gd name="connsiteX3" fmla="*/ 1147801 w 2514600"/>
              <a:gd name="connsiteY3" fmla="*/ 1635592 h 1635592"/>
              <a:gd name="connsiteX4" fmla="*/ 0 w 2514600"/>
              <a:gd name="connsiteY4" fmla="*/ 1635592 h 1635592"/>
              <a:gd name="connsiteX0" fmla="*/ 0 w 2514600"/>
              <a:gd name="connsiteY0" fmla="*/ 1635592 h 1635592"/>
              <a:gd name="connsiteX1" fmla="*/ 1366799 w 2514600"/>
              <a:gd name="connsiteY1" fmla="*/ 0 h 1635592"/>
              <a:gd name="connsiteX2" fmla="*/ 2514600 w 2514600"/>
              <a:gd name="connsiteY2" fmla="*/ 0 h 1635592"/>
              <a:gd name="connsiteX3" fmla="*/ 2026575 w 2514600"/>
              <a:gd name="connsiteY3" fmla="*/ 1148704 h 1635592"/>
              <a:gd name="connsiteX4" fmla="*/ 0 w 2514600"/>
              <a:gd name="connsiteY4" fmla="*/ 1635592 h 1635592"/>
              <a:gd name="connsiteX0" fmla="*/ 0 w 2514600"/>
              <a:gd name="connsiteY0" fmla="*/ 1635592 h 1635592"/>
              <a:gd name="connsiteX1" fmla="*/ 666154 w 2514600"/>
              <a:gd name="connsiteY1" fmla="*/ 166254 h 1635592"/>
              <a:gd name="connsiteX2" fmla="*/ 2514600 w 2514600"/>
              <a:gd name="connsiteY2" fmla="*/ 0 h 1635592"/>
              <a:gd name="connsiteX3" fmla="*/ 2026575 w 2514600"/>
              <a:gd name="connsiteY3" fmla="*/ 1148704 h 1635592"/>
              <a:gd name="connsiteX4" fmla="*/ 0 w 2514600"/>
              <a:gd name="connsiteY4" fmla="*/ 1635592 h 1635592"/>
              <a:gd name="connsiteX0" fmla="*/ 0 w 2300844"/>
              <a:gd name="connsiteY0" fmla="*/ 1611842 h 1611842"/>
              <a:gd name="connsiteX1" fmla="*/ 666154 w 2300844"/>
              <a:gd name="connsiteY1" fmla="*/ 142504 h 1611842"/>
              <a:gd name="connsiteX2" fmla="*/ 2300844 w 2300844"/>
              <a:gd name="connsiteY2" fmla="*/ 0 h 1611842"/>
              <a:gd name="connsiteX3" fmla="*/ 2026575 w 2300844"/>
              <a:gd name="connsiteY3" fmla="*/ 1124954 h 1611842"/>
              <a:gd name="connsiteX4" fmla="*/ 0 w 2300844"/>
              <a:gd name="connsiteY4" fmla="*/ 1611842 h 1611842"/>
              <a:gd name="connsiteX0" fmla="*/ 0 w 2026575"/>
              <a:gd name="connsiteY0" fmla="*/ 1528715 h 1528715"/>
              <a:gd name="connsiteX1" fmla="*/ 666154 w 2026575"/>
              <a:gd name="connsiteY1" fmla="*/ 59377 h 1528715"/>
              <a:gd name="connsiteX2" fmla="*/ 1932709 w 2026575"/>
              <a:gd name="connsiteY2" fmla="*/ 0 h 1528715"/>
              <a:gd name="connsiteX3" fmla="*/ 2026575 w 2026575"/>
              <a:gd name="connsiteY3" fmla="*/ 1041827 h 1528715"/>
              <a:gd name="connsiteX4" fmla="*/ 0 w 2026575"/>
              <a:gd name="connsiteY4" fmla="*/ 1528715 h 1528715"/>
              <a:gd name="connsiteX0" fmla="*/ 0 w 2526475"/>
              <a:gd name="connsiteY0" fmla="*/ 1623717 h 1623717"/>
              <a:gd name="connsiteX1" fmla="*/ 666154 w 2526475"/>
              <a:gd name="connsiteY1" fmla="*/ 154379 h 1623717"/>
              <a:gd name="connsiteX2" fmla="*/ 2526475 w 2526475"/>
              <a:gd name="connsiteY2" fmla="*/ 0 h 1623717"/>
              <a:gd name="connsiteX3" fmla="*/ 2026575 w 2526475"/>
              <a:gd name="connsiteY3" fmla="*/ 1136829 h 1623717"/>
              <a:gd name="connsiteX4" fmla="*/ 0 w 2526475"/>
              <a:gd name="connsiteY4" fmla="*/ 1623717 h 1623717"/>
              <a:gd name="connsiteX0" fmla="*/ 0 w 2098963"/>
              <a:gd name="connsiteY0" fmla="*/ 1338709 h 1338709"/>
              <a:gd name="connsiteX1" fmla="*/ 238642 w 2098963"/>
              <a:gd name="connsiteY1" fmla="*/ 154379 h 1338709"/>
              <a:gd name="connsiteX2" fmla="*/ 2098963 w 2098963"/>
              <a:gd name="connsiteY2" fmla="*/ 0 h 1338709"/>
              <a:gd name="connsiteX3" fmla="*/ 1599063 w 2098963"/>
              <a:gd name="connsiteY3" fmla="*/ 1136829 h 1338709"/>
              <a:gd name="connsiteX4" fmla="*/ 0 w 2098963"/>
              <a:gd name="connsiteY4" fmla="*/ 1338709 h 1338709"/>
              <a:gd name="connsiteX0" fmla="*/ 0 w 2098963"/>
              <a:gd name="connsiteY0" fmla="*/ 1338709 h 1338709"/>
              <a:gd name="connsiteX1" fmla="*/ 630528 w 2098963"/>
              <a:gd name="connsiteY1" fmla="*/ 118753 h 1338709"/>
              <a:gd name="connsiteX2" fmla="*/ 2098963 w 2098963"/>
              <a:gd name="connsiteY2" fmla="*/ 0 h 1338709"/>
              <a:gd name="connsiteX3" fmla="*/ 1599063 w 2098963"/>
              <a:gd name="connsiteY3" fmla="*/ 1136829 h 1338709"/>
              <a:gd name="connsiteX4" fmla="*/ 0 w 2098963"/>
              <a:gd name="connsiteY4" fmla="*/ 1338709 h 1338709"/>
              <a:gd name="connsiteX0" fmla="*/ 0 w 2098963"/>
              <a:gd name="connsiteY0" fmla="*/ 1338709 h 1338709"/>
              <a:gd name="connsiteX1" fmla="*/ 998663 w 2098963"/>
              <a:gd name="connsiteY1" fmla="*/ 213756 h 1338709"/>
              <a:gd name="connsiteX2" fmla="*/ 2098963 w 2098963"/>
              <a:gd name="connsiteY2" fmla="*/ 0 h 1338709"/>
              <a:gd name="connsiteX3" fmla="*/ 1599063 w 2098963"/>
              <a:gd name="connsiteY3" fmla="*/ 1136829 h 1338709"/>
              <a:gd name="connsiteX4" fmla="*/ 0 w 2098963"/>
              <a:gd name="connsiteY4" fmla="*/ 1338709 h 1338709"/>
              <a:gd name="connsiteX0" fmla="*/ 0 w 2098963"/>
              <a:gd name="connsiteY0" fmla="*/ 1338709 h 1338709"/>
              <a:gd name="connsiteX1" fmla="*/ 998663 w 2098963"/>
              <a:gd name="connsiteY1" fmla="*/ 213756 h 1338709"/>
              <a:gd name="connsiteX2" fmla="*/ 2098963 w 2098963"/>
              <a:gd name="connsiteY2" fmla="*/ 0 h 1338709"/>
              <a:gd name="connsiteX3" fmla="*/ 1207178 w 2098963"/>
              <a:gd name="connsiteY3" fmla="*/ 1184330 h 1338709"/>
              <a:gd name="connsiteX4" fmla="*/ 0 w 2098963"/>
              <a:gd name="connsiteY4" fmla="*/ 1338709 h 1338709"/>
              <a:gd name="connsiteX0" fmla="*/ 0 w 2288968"/>
              <a:gd name="connsiteY0" fmla="*/ 1124953 h 1124953"/>
              <a:gd name="connsiteX1" fmla="*/ 998663 w 2288968"/>
              <a:gd name="connsiteY1" fmla="*/ 0 h 1124953"/>
              <a:gd name="connsiteX2" fmla="*/ 2288968 w 2288968"/>
              <a:gd name="connsiteY2" fmla="*/ 11875 h 1124953"/>
              <a:gd name="connsiteX3" fmla="*/ 1207178 w 2288968"/>
              <a:gd name="connsiteY3" fmla="*/ 970574 h 1124953"/>
              <a:gd name="connsiteX4" fmla="*/ 0 w 2288968"/>
              <a:gd name="connsiteY4" fmla="*/ 1124953 h 1124953"/>
              <a:gd name="connsiteX0" fmla="*/ 0 w 2229592"/>
              <a:gd name="connsiteY0" fmla="*/ 1291208 h 1291208"/>
              <a:gd name="connsiteX1" fmla="*/ 998663 w 2229592"/>
              <a:gd name="connsiteY1" fmla="*/ 166255 h 1291208"/>
              <a:gd name="connsiteX2" fmla="*/ 2229592 w 2229592"/>
              <a:gd name="connsiteY2" fmla="*/ 0 h 1291208"/>
              <a:gd name="connsiteX3" fmla="*/ 1207178 w 2229592"/>
              <a:gd name="connsiteY3" fmla="*/ 1136829 h 1291208"/>
              <a:gd name="connsiteX4" fmla="*/ 0 w 2229592"/>
              <a:gd name="connsiteY4" fmla="*/ 1291208 h 1291208"/>
              <a:gd name="connsiteX0" fmla="*/ 0 w 2229592"/>
              <a:gd name="connsiteY0" fmla="*/ 1291208 h 1291208"/>
              <a:gd name="connsiteX1" fmla="*/ 1200544 w 2229592"/>
              <a:gd name="connsiteY1" fmla="*/ 380011 h 1291208"/>
              <a:gd name="connsiteX2" fmla="*/ 2229592 w 2229592"/>
              <a:gd name="connsiteY2" fmla="*/ 0 h 1291208"/>
              <a:gd name="connsiteX3" fmla="*/ 1207178 w 2229592"/>
              <a:gd name="connsiteY3" fmla="*/ 1136829 h 1291208"/>
              <a:gd name="connsiteX4" fmla="*/ 0 w 2229592"/>
              <a:gd name="connsiteY4" fmla="*/ 1291208 h 1291208"/>
              <a:gd name="connsiteX0" fmla="*/ 0 w 2229592"/>
              <a:gd name="connsiteY0" fmla="*/ 1291208 h 1291208"/>
              <a:gd name="connsiteX1" fmla="*/ 1200544 w 2229592"/>
              <a:gd name="connsiteY1" fmla="*/ 380011 h 1291208"/>
              <a:gd name="connsiteX2" fmla="*/ 2229592 w 2229592"/>
              <a:gd name="connsiteY2" fmla="*/ 0 h 1291208"/>
              <a:gd name="connsiteX3" fmla="*/ 1373433 w 2229592"/>
              <a:gd name="connsiteY3" fmla="*/ 1006201 h 1291208"/>
              <a:gd name="connsiteX4" fmla="*/ 0 w 2229592"/>
              <a:gd name="connsiteY4" fmla="*/ 1291208 h 1291208"/>
              <a:gd name="connsiteX0" fmla="*/ 0 w 2253343"/>
              <a:gd name="connsiteY0" fmla="*/ 1124954 h 1124954"/>
              <a:gd name="connsiteX1" fmla="*/ 1200544 w 2253343"/>
              <a:gd name="connsiteY1" fmla="*/ 213757 h 1124954"/>
              <a:gd name="connsiteX2" fmla="*/ 2253343 w 2253343"/>
              <a:gd name="connsiteY2" fmla="*/ 0 h 1124954"/>
              <a:gd name="connsiteX3" fmla="*/ 1373433 w 2253343"/>
              <a:gd name="connsiteY3" fmla="*/ 839947 h 1124954"/>
              <a:gd name="connsiteX4" fmla="*/ 0 w 2253343"/>
              <a:gd name="connsiteY4" fmla="*/ 1124954 h 1124954"/>
              <a:gd name="connsiteX0" fmla="*/ 0 w 2336470"/>
              <a:gd name="connsiteY0" fmla="*/ 1089328 h 1089328"/>
              <a:gd name="connsiteX1" fmla="*/ 1200544 w 2336470"/>
              <a:gd name="connsiteY1" fmla="*/ 178131 h 1089328"/>
              <a:gd name="connsiteX2" fmla="*/ 2336470 w 2336470"/>
              <a:gd name="connsiteY2" fmla="*/ 0 h 1089328"/>
              <a:gd name="connsiteX3" fmla="*/ 1373433 w 2336470"/>
              <a:gd name="connsiteY3" fmla="*/ 804321 h 1089328"/>
              <a:gd name="connsiteX4" fmla="*/ 0 w 2336470"/>
              <a:gd name="connsiteY4" fmla="*/ 1089328 h 1089328"/>
              <a:gd name="connsiteX0" fmla="*/ 0 w 2336470"/>
              <a:gd name="connsiteY0" fmla="*/ 1089328 h 1089328"/>
              <a:gd name="connsiteX1" fmla="*/ 1200544 w 2336470"/>
              <a:gd name="connsiteY1" fmla="*/ 178131 h 1089328"/>
              <a:gd name="connsiteX2" fmla="*/ 2336470 w 2336470"/>
              <a:gd name="connsiteY2" fmla="*/ 0 h 1089328"/>
              <a:gd name="connsiteX3" fmla="*/ 1230929 w 2336470"/>
              <a:gd name="connsiteY3" fmla="*/ 875573 h 1089328"/>
              <a:gd name="connsiteX4" fmla="*/ 0 w 2336470"/>
              <a:gd name="connsiteY4" fmla="*/ 1089328 h 1089328"/>
              <a:gd name="connsiteX0" fmla="*/ 0 w 2300844"/>
              <a:gd name="connsiteY0" fmla="*/ 1148704 h 1148704"/>
              <a:gd name="connsiteX1" fmla="*/ 1164918 w 2300844"/>
              <a:gd name="connsiteY1" fmla="*/ 178131 h 1148704"/>
              <a:gd name="connsiteX2" fmla="*/ 2300844 w 2300844"/>
              <a:gd name="connsiteY2" fmla="*/ 0 h 1148704"/>
              <a:gd name="connsiteX3" fmla="*/ 1195303 w 2300844"/>
              <a:gd name="connsiteY3" fmla="*/ 875573 h 1148704"/>
              <a:gd name="connsiteX4" fmla="*/ 0 w 2300844"/>
              <a:gd name="connsiteY4" fmla="*/ 1148704 h 1148704"/>
              <a:gd name="connsiteX0" fmla="*/ 0 w 2300844"/>
              <a:gd name="connsiteY0" fmla="*/ 1148704 h 1148704"/>
              <a:gd name="connsiteX1" fmla="*/ 1164918 w 2300844"/>
              <a:gd name="connsiteY1" fmla="*/ 178131 h 1148704"/>
              <a:gd name="connsiteX2" fmla="*/ 2300844 w 2300844"/>
              <a:gd name="connsiteY2" fmla="*/ 0 h 1148704"/>
              <a:gd name="connsiteX3" fmla="*/ 1278430 w 2300844"/>
              <a:gd name="connsiteY3" fmla="*/ 863698 h 1148704"/>
              <a:gd name="connsiteX4" fmla="*/ 0 w 2300844"/>
              <a:gd name="connsiteY4" fmla="*/ 1148704 h 1148704"/>
              <a:gd name="connsiteX0" fmla="*/ 0 w 2300844"/>
              <a:gd name="connsiteY0" fmla="*/ 1148704 h 1148704"/>
              <a:gd name="connsiteX1" fmla="*/ 1164918 w 2300844"/>
              <a:gd name="connsiteY1" fmla="*/ 178131 h 1148704"/>
              <a:gd name="connsiteX2" fmla="*/ 2300844 w 2300844"/>
              <a:gd name="connsiteY2" fmla="*/ 0 h 1148704"/>
              <a:gd name="connsiteX3" fmla="*/ 1373433 w 2300844"/>
              <a:gd name="connsiteY3" fmla="*/ 899324 h 1148704"/>
              <a:gd name="connsiteX4" fmla="*/ 0 w 2300844"/>
              <a:gd name="connsiteY4" fmla="*/ 1148704 h 1148704"/>
              <a:gd name="connsiteX0" fmla="*/ 0 w 2300844"/>
              <a:gd name="connsiteY0" fmla="*/ 1148704 h 1148704"/>
              <a:gd name="connsiteX1" fmla="*/ 1164918 w 2300844"/>
              <a:gd name="connsiteY1" fmla="*/ 178131 h 1148704"/>
              <a:gd name="connsiteX2" fmla="*/ 2300844 w 2300844"/>
              <a:gd name="connsiteY2" fmla="*/ 0 h 1148704"/>
              <a:gd name="connsiteX3" fmla="*/ 1385308 w 2300844"/>
              <a:gd name="connsiteY3" fmla="*/ 863698 h 1148704"/>
              <a:gd name="connsiteX4" fmla="*/ 0 w 2300844"/>
              <a:gd name="connsiteY4" fmla="*/ 1148704 h 1148704"/>
              <a:gd name="connsiteX0" fmla="*/ 0 w 2360220"/>
              <a:gd name="connsiteY0" fmla="*/ 1148704 h 1148704"/>
              <a:gd name="connsiteX1" fmla="*/ 1164918 w 2360220"/>
              <a:gd name="connsiteY1" fmla="*/ 178131 h 1148704"/>
              <a:gd name="connsiteX2" fmla="*/ 2360220 w 2360220"/>
              <a:gd name="connsiteY2" fmla="*/ 0 h 1148704"/>
              <a:gd name="connsiteX3" fmla="*/ 1385308 w 2360220"/>
              <a:gd name="connsiteY3" fmla="*/ 863698 h 1148704"/>
              <a:gd name="connsiteX4" fmla="*/ 0 w 2360220"/>
              <a:gd name="connsiteY4" fmla="*/ 1148704 h 1148704"/>
              <a:gd name="connsiteX0" fmla="*/ 0 w 2241467"/>
              <a:gd name="connsiteY0" fmla="*/ 1041826 h 1041826"/>
              <a:gd name="connsiteX1" fmla="*/ 1046165 w 2241467"/>
              <a:gd name="connsiteY1" fmla="*/ 178131 h 1041826"/>
              <a:gd name="connsiteX2" fmla="*/ 2241467 w 2241467"/>
              <a:gd name="connsiteY2" fmla="*/ 0 h 1041826"/>
              <a:gd name="connsiteX3" fmla="*/ 1266555 w 2241467"/>
              <a:gd name="connsiteY3" fmla="*/ 863698 h 1041826"/>
              <a:gd name="connsiteX4" fmla="*/ 0 w 2241467"/>
              <a:gd name="connsiteY4" fmla="*/ 1041826 h 1041826"/>
              <a:gd name="connsiteX0" fmla="*/ 0 w 2253342"/>
              <a:gd name="connsiteY0" fmla="*/ 1124953 h 1124953"/>
              <a:gd name="connsiteX1" fmla="*/ 1058040 w 2253342"/>
              <a:gd name="connsiteY1" fmla="*/ 178131 h 1124953"/>
              <a:gd name="connsiteX2" fmla="*/ 2253342 w 2253342"/>
              <a:gd name="connsiteY2" fmla="*/ 0 h 1124953"/>
              <a:gd name="connsiteX3" fmla="*/ 1278430 w 2253342"/>
              <a:gd name="connsiteY3" fmla="*/ 863698 h 1124953"/>
              <a:gd name="connsiteX4" fmla="*/ 0 w 2253342"/>
              <a:gd name="connsiteY4" fmla="*/ 1124953 h 1124953"/>
              <a:gd name="connsiteX0" fmla="*/ 0 w 2253342"/>
              <a:gd name="connsiteY0" fmla="*/ 1124953 h 1124953"/>
              <a:gd name="connsiteX1" fmla="*/ 1058040 w 2253342"/>
              <a:gd name="connsiteY1" fmla="*/ 178131 h 1124953"/>
              <a:gd name="connsiteX2" fmla="*/ 2253342 w 2253342"/>
              <a:gd name="connsiteY2" fmla="*/ 0 h 1124953"/>
              <a:gd name="connsiteX3" fmla="*/ 1242804 w 2253342"/>
              <a:gd name="connsiteY3" fmla="*/ 804321 h 1124953"/>
              <a:gd name="connsiteX4" fmla="*/ 0 w 2253342"/>
              <a:gd name="connsiteY4" fmla="*/ 1124953 h 1124953"/>
              <a:gd name="connsiteX0" fmla="*/ 0 w 2098963"/>
              <a:gd name="connsiteY0" fmla="*/ 1231831 h 1231831"/>
              <a:gd name="connsiteX1" fmla="*/ 1058040 w 2098963"/>
              <a:gd name="connsiteY1" fmla="*/ 285009 h 1231831"/>
              <a:gd name="connsiteX2" fmla="*/ 2098963 w 2098963"/>
              <a:gd name="connsiteY2" fmla="*/ 0 h 1231831"/>
              <a:gd name="connsiteX3" fmla="*/ 1242804 w 2098963"/>
              <a:gd name="connsiteY3" fmla="*/ 911199 h 1231831"/>
              <a:gd name="connsiteX4" fmla="*/ 0 w 2098963"/>
              <a:gd name="connsiteY4" fmla="*/ 1231831 h 1231831"/>
              <a:gd name="connsiteX0" fmla="*/ 0 w 2134589"/>
              <a:gd name="connsiteY0" fmla="*/ 1184329 h 1184329"/>
              <a:gd name="connsiteX1" fmla="*/ 1058040 w 2134589"/>
              <a:gd name="connsiteY1" fmla="*/ 237507 h 1184329"/>
              <a:gd name="connsiteX2" fmla="*/ 2134589 w 2134589"/>
              <a:gd name="connsiteY2" fmla="*/ 0 h 1184329"/>
              <a:gd name="connsiteX3" fmla="*/ 1242804 w 2134589"/>
              <a:gd name="connsiteY3" fmla="*/ 863697 h 1184329"/>
              <a:gd name="connsiteX4" fmla="*/ 0 w 2134589"/>
              <a:gd name="connsiteY4" fmla="*/ 1184329 h 1184329"/>
              <a:gd name="connsiteX0" fmla="*/ 0 w 2134589"/>
              <a:gd name="connsiteY0" fmla="*/ 1184329 h 1184329"/>
              <a:gd name="connsiteX1" fmla="*/ 1188668 w 2134589"/>
              <a:gd name="connsiteY1" fmla="*/ 273133 h 1184329"/>
              <a:gd name="connsiteX2" fmla="*/ 2134589 w 2134589"/>
              <a:gd name="connsiteY2" fmla="*/ 0 h 1184329"/>
              <a:gd name="connsiteX3" fmla="*/ 1242804 w 2134589"/>
              <a:gd name="connsiteY3" fmla="*/ 863697 h 1184329"/>
              <a:gd name="connsiteX4" fmla="*/ 0 w 2134589"/>
              <a:gd name="connsiteY4" fmla="*/ 1184329 h 1184329"/>
              <a:gd name="connsiteX0" fmla="*/ 0 w 2253343"/>
              <a:gd name="connsiteY0" fmla="*/ 1136828 h 1136828"/>
              <a:gd name="connsiteX1" fmla="*/ 1188668 w 2253343"/>
              <a:gd name="connsiteY1" fmla="*/ 225632 h 1136828"/>
              <a:gd name="connsiteX2" fmla="*/ 2253343 w 2253343"/>
              <a:gd name="connsiteY2" fmla="*/ 0 h 1136828"/>
              <a:gd name="connsiteX3" fmla="*/ 1242804 w 2253343"/>
              <a:gd name="connsiteY3" fmla="*/ 816196 h 1136828"/>
              <a:gd name="connsiteX4" fmla="*/ 0 w 2253343"/>
              <a:gd name="connsiteY4" fmla="*/ 1136828 h 1136828"/>
              <a:gd name="connsiteX0" fmla="*/ 0 w 2312719"/>
              <a:gd name="connsiteY0" fmla="*/ 1089326 h 1089326"/>
              <a:gd name="connsiteX1" fmla="*/ 1248044 w 2312719"/>
              <a:gd name="connsiteY1" fmla="*/ 225632 h 1089326"/>
              <a:gd name="connsiteX2" fmla="*/ 2312719 w 2312719"/>
              <a:gd name="connsiteY2" fmla="*/ 0 h 1089326"/>
              <a:gd name="connsiteX3" fmla="*/ 1302180 w 2312719"/>
              <a:gd name="connsiteY3" fmla="*/ 816196 h 1089326"/>
              <a:gd name="connsiteX4" fmla="*/ 0 w 2312719"/>
              <a:gd name="connsiteY4" fmla="*/ 1089326 h 1089326"/>
              <a:gd name="connsiteX0" fmla="*/ 0 w 2336470"/>
              <a:gd name="connsiteY0" fmla="*/ 1089326 h 1089326"/>
              <a:gd name="connsiteX1" fmla="*/ 1271795 w 2336470"/>
              <a:gd name="connsiteY1" fmla="*/ 225632 h 1089326"/>
              <a:gd name="connsiteX2" fmla="*/ 2336470 w 2336470"/>
              <a:gd name="connsiteY2" fmla="*/ 0 h 1089326"/>
              <a:gd name="connsiteX3" fmla="*/ 1325931 w 2336470"/>
              <a:gd name="connsiteY3" fmla="*/ 816196 h 1089326"/>
              <a:gd name="connsiteX4" fmla="*/ 0 w 2336470"/>
              <a:gd name="connsiteY4" fmla="*/ 1089326 h 1089326"/>
              <a:gd name="connsiteX0" fmla="*/ 0 w 2336470"/>
              <a:gd name="connsiteY0" fmla="*/ 1089326 h 1089326"/>
              <a:gd name="connsiteX1" fmla="*/ 1271795 w 2336470"/>
              <a:gd name="connsiteY1" fmla="*/ 225632 h 1089326"/>
              <a:gd name="connsiteX2" fmla="*/ 2336470 w 2336470"/>
              <a:gd name="connsiteY2" fmla="*/ 0 h 1089326"/>
              <a:gd name="connsiteX3" fmla="*/ 1159677 w 2336470"/>
              <a:gd name="connsiteY3" fmla="*/ 839947 h 1089326"/>
              <a:gd name="connsiteX4" fmla="*/ 0 w 2336470"/>
              <a:gd name="connsiteY4" fmla="*/ 1089326 h 1089326"/>
              <a:gd name="connsiteX0" fmla="*/ 0 w 2550226"/>
              <a:gd name="connsiteY0" fmla="*/ 1089326 h 1089326"/>
              <a:gd name="connsiteX1" fmla="*/ 1271795 w 2550226"/>
              <a:gd name="connsiteY1" fmla="*/ 225632 h 1089326"/>
              <a:gd name="connsiteX2" fmla="*/ 2550226 w 2550226"/>
              <a:gd name="connsiteY2" fmla="*/ 0 h 1089326"/>
              <a:gd name="connsiteX3" fmla="*/ 1159677 w 2550226"/>
              <a:gd name="connsiteY3" fmla="*/ 839947 h 1089326"/>
              <a:gd name="connsiteX4" fmla="*/ 0 w 2550226"/>
              <a:gd name="connsiteY4" fmla="*/ 1089326 h 1089326"/>
              <a:gd name="connsiteX0" fmla="*/ 0 w 2550226"/>
              <a:gd name="connsiteY0" fmla="*/ 1089326 h 1089326"/>
              <a:gd name="connsiteX1" fmla="*/ 1271795 w 2550226"/>
              <a:gd name="connsiteY1" fmla="*/ 225632 h 1089326"/>
              <a:gd name="connsiteX2" fmla="*/ 2550226 w 2550226"/>
              <a:gd name="connsiteY2" fmla="*/ 0 h 1089326"/>
              <a:gd name="connsiteX3" fmla="*/ 1369942 w 2550226"/>
              <a:gd name="connsiteY3" fmla="*/ 1079567 h 1089326"/>
              <a:gd name="connsiteX4" fmla="*/ 0 w 2550226"/>
              <a:gd name="connsiteY4" fmla="*/ 1089326 h 1089326"/>
              <a:gd name="connsiteX0" fmla="*/ 0 w 2550226"/>
              <a:gd name="connsiteY0" fmla="*/ 1089326 h 1089326"/>
              <a:gd name="connsiteX1" fmla="*/ 618867 w 2550226"/>
              <a:gd name="connsiteY1" fmla="*/ 152704 h 1089326"/>
              <a:gd name="connsiteX2" fmla="*/ 2550226 w 2550226"/>
              <a:gd name="connsiteY2" fmla="*/ 0 h 1089326"/>
              <a:gd name="connsiteX3" fmla="*/ 1369942 w 2550226"/>
              <a:gd name="connsiteY3" fmla="*/ 1079567 h 1089326"/>
              <a:gd name="connsiteX4" fmla="*/ 0 w 2550226"/>
              <a:gd name="connsiteY4" fmla="*/ 1089326 h 1089326"/>
              <a:gd name="connsiteX0" fmla="*/ 0 w 1952630"/>
              <a:gd name="connsiteY0" fmla="*/ 964307 h 964307"/>
              <a:gd name="connsiteX1" fmla="*/ 618867 w 1952630"/>
              <a:gd name="connsiteY1" fmla="*/ 27685 h 964307"/>
              <a:gd name="connsiteX2" fmla="*/ 1952630 w 1952630"/>
              <a:gd name="connsiteY2" fmla="*/ 0 h 964307"/>
              <a:gd name="connsiteX3" fmla="*/ 1369942 w 1952630"/>
              <a:gd name="connsiteY3" fmla="*/ 954548 h 964307"/>
              <a:gd name="connsiteX4" fmla="*/ 0 w 1952630"/>
              <a:gd name="connsiteY4" fmla="*/ 964307 h 964307"/>
              <a:gd name="connsiteX0" fmla="*/ 0 w 1952630"/>
              <a:gd name="connsiteY0" fmla="*/ 964307 h 964307"/>
              <a:gd name="connsiteX1" fmla="*/ 1044930 w 1952630"/>
              <a:gd name="connsiteY1" fmla="*/ 337156 h 964307"/>
              <a:gd name="connsiteX2" fmla="*/ 1952630 w 1952630"/>
              <a:gd name="connsiteY2" fmla="*/ 0 h 964307"/>
              <a:gd name="connsiteX3" fmla="*/ 1369942 w 1952630"/>
              <a:gd name="connsiteY3" fmla="*/ 954548 h 964307"/>
              <a:gd name="connsiteX4" fmla="*/ 0 w 1952630"/>
              <a:gd name="connsiteY4" fmla="*/ 964307 h 964307"/>
              <a:gd name="connsiteX0" fmla="*/ 0 w 2312294"/>
              <a:gd name="connsiteY0" fmla="*/ 641942 h 641942"/>
              <a:gd name="connsiteX1" fmla="*/ 1044930 w 2312294"/>
              <a:gd name="connsiteY1" fmla="*/ 14791 h 641942"/>
              <a:gd name="connsiteX2" fmla="*/ 2312294 w 2312294"/>
              <a:gd name="connsiteY2" fmla="*/ 0 h 641942"/>
              <a:gd name="connsiteX3" fmla="*/ 1369942 w 2312294"/>
              <a:gd name="connsiteY3" fmla="*/ 632183 h 641942"/>
              <a:gd name="connsiteX4" fmla="*/ 0 w 2312294"/>
              <a:gd name="connsiteY4" fmla="*/ 641942 h 641942"/>
              <a:gd name="connsiteX0" fmla="*/ 0 w 2351027"/>
              <a:gd name="connsiteY0" fmla="*/ 627151 h 627151"/>
              <a:gd name="connsiteX1" fmla="*/ 1044930 w 2351027"/>
              <a:gd name="connsiteY1" fmla="*/ 0 h 627151"/>
              <a:gd name="connsiteX2" fmla="*/ 2351027 w 2351027"/>
              <a:gd name="connsiteY2" fmla="*/ 210865 h 627151"/>
              <a:gd name="connsiteX3" fmla="*/ 1369942 w 2351027"/>
              <a:gd name="connsiteY3" fmla="*/ 617392 h 627151"/>
              <a:gd name="connsiteX4" fmla="*/ 0 w 2351027"/>
              <a:gd name="connsiteY4" fmla="*/ 627151 h 627151"/>
              <a:gd name="connsiteX0" fmla="*/ 0 w 2351027"/>
              <a:gd name="connsiteY0" fmla="*/ 416287 h 416287"/>
              <a:gd name="connsiteX1" fmla="*/ 1133463 w 2351027"/>
              <a:gd name="connsiteY1" fmla="*/ 34134 h 416287"/>
              <a:gd name="connsiteX2" fmla="*/ 2351027 w 2351027"/>
              <a:gd name="connsiteY2" fmla="*/ 1 h 416287"/>
              <a:gd name="connsiteX3" fmla="*/ 1369942 w 2351027"/>
              <a:gd name="connsiteY3" fmla="*/ 406528 h 416287"/>
              <a:gd name="connsiteX4" fmla="*/ 0 w 2351027"/>
              <a:gd name="connsiteY4" fmla="*/ 416287 h 416287"/>
              <a:gd name="connsiteX0" fmla="*/ 0 w 2351027"/>
              <a:gd name="connsiteY0" fmla="*/ 1123594 h 1123594"/>
              <a:gd name="connsiteX1" fmla="*/ 679733 w 2351027"/>
              <a:gd name="connsiteY1" fmla="*/ 0 h 1123594"/>
              <a:gd name="connsiteX2" fmla="*/ 2351027 w 2351027"/>
              <a:gd name="connsiteY2" fmla="*/ 707308 h 1123594"/>
              <a:gd name="connsiteX3" fmla="*/ 1369942 w 2351027"/>
              <a:gd name="connsiteY3" fmla="*/ 1113835 h 1123594"/>
              <a:gd name="connsiteX4" fmla="*/ 0 w 2351027"/>
              <a:gd name="connsiteY4" fmla="*/ 1123594 h 1123594"/>
              <a:gd name="connsiteX0" fmla="*/ 0 w 2002429"/>
              <a:gd name="connsiteY0" fmla="*/ 1123594 h 1123594"/>
              <a:gd name="connsiteX1" fmla="*/ 679733 w 2002429"/>
              <a:gd name="connsiteY1" fmla="*/ 0 h 1123594"/>
              <a:gd name="connsiteX2" fmla="*/ 2002429 w 2002429"/>
              <a:gd name="connsiteY2" fmla="*/ 17445 h 1123594"/>
              <a:gd name="connsiteX3" fmla="*/ 1369942 w 2002429"/>
              <a:gd name="connsiteY3" fmla="*/ 1113835 h 1123594"/>
              <a:gd name="connsiteX4" fmla="*/ 0 w 2002429"/>
              <a:gd name="connsiteY4" fmla="*/ 1123594 h 1123594"/>
              <a:gd name="connsiteX0" fmla="*/ 0 w 1548699"/>
              <a:gd name="connsiteY0" fmla="*/ 1123594 h 1123594"/>
              <a:gd name="connsiteX1" fmla="*/ 679733 w 1548699"/>
              <a:gd name="connsiteY1" fmla="*/ 0 h 1123594"/>
              <a:gd name="connsiteX2" fmla="*/ 1548699 w 1548699"/>
              <a:gd name="connsiteY2" fmla="*/ 17445 h 1123594"/>
              <a:gd name="connsiteX3" fmla="*/ 1369942 w 1548699"/>
              <a:gd name="connsiteY3" fmla="*/ 1113835 h 1123594"/>
              <a:gd name="connsiteX4" fmla="*/ 0 w 1548699"/>
              <a:gd name="connsiteY4" fmla="*/ 1123594 h 1123594"/>
              <a:gd name="connsiteX0" fmla="*/ 0 w 1698098"/>
              <a:gd name="connsiteY0" fmla="*/ 1123594 h 1123594"/>
              <a:gd name="connsiteX1" fmla="*/ 679733 w 1698098"/>
              <a:gd name="connsiteY1" fmla="*/ 0 h 1123594"/>
              <a:gd name="connsiteX2" fmla="*/ 1698098 w 1698098"/>
              <a:gd name="connsiteY2" fmla="*/ 43235 h 1123594"/>
              <a:gd name="connsiteX3" fmla="*/ 1369942 w 1698098"/>
              <a:gd name="connsiteY3" fmla="*/ 1113835 h 1123594"/>
              <a:gd name="connsiteX4" fmla="*/ 0 w 1698098"/>
              <a:gd name="connsiteY4" fmla="*/ 1123594 h 1123594"/>
              <a:gd name="connsiteX0" fmla="*/ 0 w 1864097"/>
              <a:gd name="connsiteY0" fmla="*/ 1123594 h 1123594"/>
              <a:gd name="connsiteX1" fmla="*/ 679733 w 1864097"/>
              <a:gd name="connsiteY1" fmla="*/ 0 h 1123594"/>
              <a:gd name="connsiteX2" fmla="*/ 1864097 w 1864097"/>
              <a:gd name="connsiteY2" fmla="*/ 17445 h 1123594"/>
              <a:gd name="connsiteX3" fmla="*/ 1369942 w 1864097"/>
              <a:gd name="connsiteY3" fmla="*/ 1113835 h 1123594"/>
              <a:gd name="connsiteX4" fmla="*/ 0 w 1864097"/>
              <a:gd name="connsiteY4" fmla="*/ 1123594 h 1123594"/>
              <a:gd name="connsiteX0" fmla="*/ 0 w 2234828"/>
              <a:gd name="connsiteY0" fmla="*/ 1123594 h 1123594"/>
              <a:gd name="connsiteX1" fmla="*/ 679733 w 2234828"/>
              <a:gd name="connsiteY1" fmla="*/ 0 h 1123594"/>
              <a:gd name="connsiteX2" fmla="*/ 2234828 w 2234828"/>
              <a:gd name="connsiteY2" fmla="*/ 4551 h 1123594"/>
              <a:gd name="connsiteX3" fmla="*/ 1369942 w 2234828"/>
              <a:gd name="connsiteY3" fmla="*/ 1113835 h 1123594"/>
              <a:gd name="connsiteX4" fmla="*/ 0 w 2234828"/>
              <a:gd name="connsiteY4" fmla="*/ 1123594 h 1123594"/>
              <a:gd name="connsiteX0" fmla="*/ 0 w 2445093"/>
              <a:gd name="connsiteY0" fmla="*/ 1138385 h 1138385"/>
              <a:gd name="connsiteX1" fmla="*/ 679733 w 2445093"/>
              <a:gd name="connsiteY1" fmla="*/ 14791 h 1138385"/>
              <a:gd name="connsiteX2" fmla="*/ 2445093 w 2445093"/>
              <a:gd name="connsiteY2" fmla="*/ 0 h 1138385"/>
              <a:gd name="connsiteX3" fmla="*/ 1369942 w 2445093"/>
              <a:gd name="connsiteY3" fmla="*/ 1128626 h 1138385"/>
              <a:gd name="connsiteX4" fmla="*/ 0 w 2445093"/>
              <a:gd name="connsiteY4" fmla="*/ 1138385 h 1138385"/>
              <a:gd name="connsiteX0" fmla="*/ 0 w 2328894"/>
              <a:gd name="connsiteY0" fmla="*/ 1123594 h 1123594"/>
              <a:gd name="connsiteX1" fmla="*/ 679733 w 2328894"/>
              <a:gd name="connsiteY1" fmla="*/ 0 h 1123594"/>
              <a:gd name="connsiteX2" fmla="*/ 2328894 w 2328894"/>
              <a:gd name="connsiteY2" fmla="*/ 262443 h 1123594"/>
              <a:gd name="connsiteX3" fmla="*/ 1369942 w 2328894"/>
              <a:gd name="connsiteY3" fmla="*/ 1113835 h 1123594"/>
              <a:gd name="connsiteX4" fmla="*/ 0 w 2328894"/>
              <a:gd name="connsiteY4" fmla="*/ 1123594 h 1123594"/>
              <a:gd name="connsiteX0" fmla="*/ 0 w 2328894"/>
              <a:gd name="connsiteY0" fmla="*/ 861151 h 861151"/>
              <a:gd name="connsiteX1" fmla="*/ 1210929 w 2328894"/>
              <a:gd name="connsiteY1" fmla="*/ 8344 h 861151"/>
              <a:gd name="connsiteX2" fmla="*/ 2328894 w 2328894"/>
              <a:gd name="connsiteY2" fmla="*/ 0 h 861151"/>
              <a:gd name="connsiteX3" fmla="*/ 1369942 w 2328894"/>
              <a:gd name="connsiteY3" fmla="*/ 851392 h 861151"/>
              <a:gd name="connsiteX4" fmla="*/ 0 w 2328894"/>
              <a:gd name="connsiteY4" fmla="*/ 861151 h 861151"/>
              <a:gd name="connsiteX0" fmla="*/ 0 w 2046696"/>
              <a:gd name="connsiteY0" fmla="*/ 970755 h 970755"/>
              <a:gd name="connsiteX1" fmla="*/ 1210929 w 2046696"/>
              <a:gd name="connsiteY1" fmla="*/ 117948 h 970755"/>
              <a:gd name="connsiteX2" fmla="*/ 2046696 w 2046696"/>
              <a:gd name="connsiteY2" fmla="*/ 0 h 970755"/>
              <a:gd name="connsiteX3" fmla="*/ 1369942 w 2046696"/>
              <a:gd name="connsiteY3" fmla="*/ 960996 h 970755"/>
              <a:gd name="connsiteX4" fmla="*/ 0 w 2046696"/>
              <a:gd name="connsiteY4" fmla="*/ 970755 h 970755"/>
              <a:gd name="connsiteX0" fmla="*/ 0 w 2046696"/>
              <a:gd name="connsiteY0" fmla="*/ 970755 h 970755"/>
              <a:gd name="connsiteX1" fmla="*/ 912131 w 2046696"/>
              <a:gd name="connsiteY1" fmla="*/ 8344 h 970755"/>
              <a:gd name="connsiteX2" fmla="*/ 2046696 w 2046696"/>
              <a:gd name="connsiteY2" fmla="*/ 0 h 970755"/>
              <a:gd name="connsiteX3" fmla="*/ 1369942 w 2046696"/>
              <a:gd name="connsiteY3" fmla="*/ 960996 h 970755"/>
              <a:gd name="connsiteX4" fmla="*/ 0 w 2046696"/>
              <a:gd name="connsiteY4" fmla="*/ 970755 h 970755"/>
              <a:gd name="connsiteX0" fmla="*/ 0 w 2111985"/>
              <a:gd name="connsiteY0" fmla="*/ 962411 h 962411"/>
              <a:gd name="connsiteX1" fmla="*/ 912131 w 2111985"/>
              <a:gd name="connsiteY1" fmla="*/ 0 h 962411"/>
              <a:gd name="connsiteX2" fmla="*/ 2111985 w 2111985"/>
              <a:gd name="connsiteY2" fmla="*/ 4551 h 962411"/>
              <a:gd name="connsiteX3" fmla="*/ 1369942 w 2111985"/>
              <a:gd name="connsiteY3" fmla="*/ 952652 h 962411"/>
              <a:gd name="connsiteX4" fmla="*/ 0 w 2111985"/>
              <a:gd name="connsiteY4" fmla="*/ 962411 h 9624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111985" h="962411">
                <a:moveTo>
                  <a:pt x="0" y="962411"/>
                </a:moveTo>
                <a:lnTo>
                  <a:pt x="912131" y="0"/>
                </a:lnTo>
                <a:lnTo>
                  <a:pt x="2111985" y="4551"/>
                </a:lnTo>
                <a:lnTo>
                  <a:pt x="1369942" y="952652"/>
                </a:lnTo>
                <a:lnTo>
                  <a:pt x="0" y="962411"/>
                </a:lnTo>
                <a:close/>
              </a:path>
            </a:pathLst>
          </a:custGeom>
          <a:solidFill>
            <a:schemeClr val="accent1">
              <a:alpha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351"/>
          </a:p>
        </xdr:txBody>
      </xdr:sp>
    </xdr:grpSp>
    <xdr:clientData/>
  </xdr:twoCellAnchor>
  <xdr:twoCellAnchor>
    <xdr:from>
      <xdr:col>17</xdr:col>
      <xdr:colOff>535171</xdr:colOff>
      <xdr:row>15</xdr:row>
      <xdr:rowOff>190500</xdr:rowOff>
    </xdr:from>
    <xdr:to>
      <xdr:col>21</xdr:col>
      <xdr:colOff>11292</xdr:colOff>
      <xdr:row>22</xdr:row>
      <xdr:rowOff>14461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GrpSpPr/>
      </xdr:nvGrpSpPr>
      <xdr:grpSpPr>
        <a:xfrm>
          <a:off x="14811465" y="3339353"/>
          <a:ext cx="2243974" cy="1471226"/>
          <a:chOff x="7774258" y="1569002"/>
          <a:chExt cx="2914194" cy="1703731"/>
        </a:xfrm>
      </xdr:grpSpPr>
      <xdr:grpSp>
        <xdr:nvGrpSpPr>
          <xdr:cNvPr id="34" name="Group 33">
            <a:extLst>
              <a:ext uri="{FF2B5EF4-FFF2-40B4-BE49-F238E27FC236}">
                <a16:creationId xmlns:a16="http://schemas.microsoft.com/office/drawing/2014/main" id="{00000000-0008-0000-0300-000022000000}"/>
              </a:ext>
            </a:extLst>
          </xdr:cNvPr>
          <xdr:cNvGrpSpPr/>
        </xdr:nvGrpSpPr>
        <xdr:grpSpPr>
          <a:xfrm>
            <a:off x="8913019" y="1965676"/>
            <a:ext cx="1023938" cy="761247"/>
            <a:chOff x="4352925" y="3097471"/>
            <a:chExt cx="1481138" cy="1129665"/>
          </a:xfrm>
        </xdr:grpSpPr>
        <xdr:sp macro="" textlink="">
          <xdr:nvSpPr>
            <xdr:cNvPr id="37" name="Cube 7">
              <a:extLst>
                <a:ext uri="{FF2B5EF4-FFF2-40B4-BE49-F238E27FC236}">
                  <a16:creationId xmlns:a16="http://schemas.microsoft.com/office/drawing/2014/main" id="{00000000-0008-0000-0300-000025000000}"/>
                </a:ext>
              </a:extLst>
            </xdr:cNvPr>
            <xdr:cNvSpPr/>
          </xdr:nvSpPr>
          <xdr:spPr>
            <a:xfrm rot="668061">
              <a:off x="4376350" y="3097471"/>
              <a:ext cx="1427436" cy="1129665"/>
            </a:xfrm>
            <a:custGeom>
              <a:avLst/>
              <a:gdLst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48882 w 1371600"/>
                <a:gd name="connsiteY1" fmla="*/ 0 h 1143000"/>
                <a:gd name="connsiteX2" fmla="*/ 1371600 w 1371600"/>
                <a:gd name="connsiteY2" fmla="*/ 0 h 1143000"/>
                <a:gd name="connsiteX3" fmla="*/ 622718 w 1371600"/>
                <a:gd name="connsiteY3" fmla="*/ 748882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48882 w 1371600"/>
                <a:gd name="connsiteY1" fmla="*/ 0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622718 w 1371600"/>
                <a:gd name="connsiteY8" fmla="*/ 748882 h 1143000"/>
                <a:gd name="connsiteX9" fmla="*/ 1371600 w 1371600"/>
                <a:gd name="connsiteY9" fmla="*/ 0 h 1143000"/>
                <a:gd name="connsiteX10" fmla="*/ 622718 w 1371600"/>
                <a:gd name="connsiteY10" fmla="*/ 748882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48882 w 1371600"/>
                <a:gd name="connsiteY1" fmla="*/ 0 h 1143000"/>
                <a:gd name="connsiteX2" fmla="*/ 1371600 w 1371600"/>
                <a:gd name="connsiteY2" fmla="*/ 0 h 1143000"/>
                <a:gd name="connsiteX3" fmla="*/ 622718 w 1371600"/>
                <a:gd name="connsiteY3" fmla="*/ 748882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622718 w 1371600"/>
                <a:gd name="connsiteY8" fmla="*/ 748882 h 1143000"/>
                <a:gd name="connsiteX9" fmla="*/ 1371600 w 1371600"/>
                <a:gd name="connsiteY9" fmla="*/ 0 h 1143000"/>
                <a:gd name="connsiteX10" fmla="*/ 622718 w 1371600"/>
                <a:gd name="connsiteY10" fmla="*/ 748882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22718 w 1371600"/>
                <a:gd name="connsiteY3" fmla="*/ 748882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622718 w 1371600"/>
                <a:gd name="connsiteY8" fmla="*/ 748882 h 1143000"/>
                <a:gd name="connsiteX9" fmla="*/ 1371600 w 1371600"/>
                <a:gd name="connsiteY9" fmla="*/ 0 h 1143000"/>
                <a:gd name="connsiteX10" fmla="*/ 622718 w 1371600"/>
                <a:gd name="connsiteY10" fmla="*/ 748882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22718 w 1371600"/>
                <a:gd name="connsiteY3" fmla="*/ 748882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622718 w 1371600"/>
                <a:gd name="connsiteY8" fmla="*/ 748882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22718 w 1371600"/>
                <a:gd name="connsiteY3" fmla="*/ 748882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22718 w 1371600"/>
                <a:gd name="connsiteY0" fmla="*/ 748882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22718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22718 w 1371600"/>
                <a:gd name="connsiteY1" fmla="*/ 748882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22718 w 1371600"/>
                <a:gd name="connsiteY11" fmla="*/ 1143000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622718 w 1371600"/>
                <a:gd name="connsiteY4" fmla="*/ 1143000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22718 w 1371600"/>
                <a:gd name="connsiteY3" fmla="*/ 1143000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22718 w 1371600"/>
                <a:gd name="connsiteY2" fmla="*/ 1143000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0 w 1371600"/>
                <a:gd name="connsiteY7" fmla="*/ 748882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5462 w 1371600"/>
                <a:gd name="connsiteY7" fmla="*/ 776629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9104 w 1371600"/>
                <a:gd name="connsiteY7" fmla="*/ 795128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0 w 1371600"/>
                <a:gd name="connsiteY6" fmla="*/ 748882 h 1143000"/>
                <a:gd name="connsiteX7" fmla="*/ 7763 w 1371600"/>
                <a:gd name="connsiteY7" fmla="*/ 775977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0 w 1371600"/>
                <a:gd name="connsiteY0" fmla="*/ 748882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0 w 1371600"/>
                <a:gd name="connsiteY4" fmla="*/ 748882 h 1143000"/>
                <a:gd name="connsiteX0" fmla="*/ 7854 w 1371600"/>
                <a:gd name="connsiteY0" fmla="*/ 77645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7854 w 1371600"/>
                <a:gd name="connsiteY6" fmla="*/ 776459 h 1143000"/>
                <a:gd name="connsiteX7" fmla="*/ 7763 w 1371600"/>
                <a:gd name="connsiteY7" fmla="*/ 775977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0 w 1371600"/>
                <a:gd name="connsiteY0" fmla="*/ 748882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0 w 1371600"/>
                <a:gd name="connsiteY4" fmla="*/ 748882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5518 w 1371600"/>
                <a:gd name="connsiteY0" fmla="*/ 77691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5518 w 1371600"/>
                <a:gd name="connsiteY4" fmla="*/ 776919 h 1143000"/>
                <a:gd name="connsiteX0" fmla="*/ 7854 w 1371600"/>
                <a:gd name="connsiteY0" fmla="*/ 77645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7854 w 1371600"/>
                <a:gd name="connsiteY6" fmla="*/ 776459 h 1143000"/>
                <a:gd name="connsiteX7" fmla="*/ 7763 w 1371600"/>
                <a:gd name="connsiteY7" fmla="*/ 775977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5059 w 1371600"/>
                <a:gd name="connsiteY0" fmla="*/ 774583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5059 w 1371600"/>
                <a:gd name="connsiteY4" fmla="*/ 774583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5518 w 1371600"/>
                <a:gd name="connsiteY0" fmla="*/ 77691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5518 w 1371600"/>
                <a:gd name="connsiteY4" fmla="*/ 776919 h 1143000"/>
                <a:gd name="connsiteX0" fmla="*/ 7854 w 1371600"/>
                <a:gd name="connsiteY0" fmla="*/ 77645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0 w 1371600"/>
                <a:gd name="connsiteY5" fmla="*/ 1143000 h 1143000"/>
                <a:gd name="connsiteX6" fmla="*/ 7854 w 1371600"/>
                <a:gd name="connsiteY6" fmla="*/ 776459 h 1143000"/>
                <a:gd name="connsiteX7" fmla="*/ 7763 w 1371600"/>
                <a:gd name="connsiteY7" fmla="*/ 775977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5059 w 1371600"/>
                <a:gd name="connsiteY0" fmla="*/ 774583 h 1143000"/>
                <a:gd name="connsiteX1" fmla="*/ 602694 w 1371600"/>
                <a:gd name="connsiteY1" fmla="*/ 647139 h 1143000"/>
                <a:gd name="connsiteX2" fmla="*/ 606482 w 1371600"/>
                <a:gd name="connsiteY2" fmla="*/ 1011689 h 1143000"/>
                <a:gd name="connsiteX3" fmla="*/ 0 w 1371600"/>
                <a:gd name="connsiteY3" fmla="*/ 1143000 h 1143000"/>
                <a:gd name="connsiteX4" fmla="*/ 5059 w 1371600"/>
                <a:gd name="connsiteY4" fmla="*/ 774583 h 1143000"/>
                <a:gd name="connsiteX0" fmla="*/ 604514 w 1371600"/>
                <a:gd name="connsiteY0" fmla="*/ 656388 h 1143000"/>
                <a:gd name="connsiteX1" fmla="*/ 1371600 w 1371600"/>
                <a:gd name="connsiteY1" fmla="*/ 0 h 1143000"/>
                <a:gd name="connsiteX2" fmla="*/ 1371600 w 1371600"/>
                <a:gd name="connsiteY2" fmla="*/ 394118 h 1143000"/>
                <a:gd name="connsiteX3" fmla="*/ 610122 w 1371600"/>
                <a:gd name="connsiteY3" fmla="*/ 1030187 h 1143000"/>
                <a:gd name="connsiteX4" fmla="*/ 604514 w 1371600"/>
                <a:gd name="connsiteY4" fmla="*/ 656388 h 1143000"/>
                <a:gd name="connsiteX0" fmla="*/ 5518 w 1371600"/>
                <a:gd name="connsiteY0" fmla="*/ 77691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606334 w 1371600"/>
                <a:gd name="connsiteY3" fmla="*/ 665637 h 1143000"/>
                <a:gd name="connsiteX4" fmla="*/ 5518 w 1371600"/>
                <a:gd name="connsiteY4" fmla="*/ 776919 h 1143000"/>
                <a:gd name="connsiteX0" fmla="*/ 7854 w 1371600"/>
                <a:gd name="connsiteY0" fmla="*/ 776459 h 1143000"/>
                <a:gd name="connsiteX1" fmla="*/ 770727 w 1371600"/>
                <a:gd name="connsiteY1" fmla="*/ 110992 h 1143000"/>
                <a:gd name="connsiteX2" fmla="*/ 1371600 w 1371600"/>
                <a:gd name="connsiteY2" fmla="*/ 0 h 1143000"/>
                <a:gd name="connsiteX3" fmla="*/ 1371600 w 1371600"/>
                <a:gd name="connsiteY3" fmla="*/ 394118 h 1143000"/>
                <a:gd name="connsiteX4" fmla="*/ 599053 w 1371600"/>
                <a:gd name="connsiteY4" fmla="*/ 1022758 h 1143000"/>
                <a:gd name="connsiteX5" fmla="*/ 60746 w 1371600"/>
                <a:gd name="connsiteY5" fmla="*/ 1131044 h 1143000"/>
                <a:gd name="connsiteX6" fmla="*/ 7854 w 1371600"/>
                <a:gd name="connsiteY6" fmla="*/ 776459 h 1143000"/>
                <a:gd name="connsiteX7" fmla="*/ 7763 w 1371600"/>
                <a:gd name="connsiteY7" fmla="*/ 775977 h 1143000"/>
                <a:gd name="connsiteX8" fmla="*/ 586015 w 1371600"/>
                <a:gd name="connsiteY8" fmla="*/ 660029 h 1143000"/>
                <a:gd name="connsiteX9" fmla="*/ 1371600 w 1371600"/>
                <a:gd name="connsiteY9" fmla="*/ 0 h 1143000"/>
                <a:gd name="connsiteX10" fmla="*/ 591624 w 1371600"/>
                <a:gd name="connsiteY10" fmla="*/ 639710 h 1143000"/>
                <a:gd name="connsiteX11" fmla="*/ 617552 w 1371600"/>
                <a:gd name="connsiteY11" fmla="*/ 1019118 h 1143000"/>
                <a:gd name="connsiteX0" fmla="*/ 35 w 1366576"/>
                <a:gd name="connsiteY0" fmla="*/ 774583 h 1131044"/>
                <a:gd name="connsiteX1" fmla="*/ 597670 w 1366576"/>
                <a:gd name="connsiteY1" fmla="*/ 647139 h 1131044"/>
                <a:gd name="connsiteX2" fmla="*/ 601458 w 1366576"/>
                <a:gd name="connsiteY2" fmla="*/ 1011689 h 1131044"/>
                <a:gd name="connsiteX3" fmla="*/ 57599 w 1366576"/>
                <a:gd name="connsiteY3" fmla="*/ 1128249 h 1131044"/>
                <a:gd name="connsiteX4" fmla="*/ 35 w 1366576"/>
                <a:gd name="connsiteY4" fmla="*/ 774583 h 1131044"/>
                <a:gd name="connsiteX0" fmla="*/ 599490 w 1366576"/>
                <a:gd name="connsiteY0" fmla="*/ 656388 h 1131044"/>
                <a:gd name="connsiteX1" fmla="*/ 1366576 w 1366576"/>
                <a:gd name="connsiteY1" fmla="*/ 0 h 1131044"/>
                <a:gd name="connsiteX2" fmla="*/ 1366576 w 1366576"/>
                <a:gd name="connsiteY2" fmla="*/ 394118 h 1131044"/>
                <a:gd name="connsiteX3" fmla="*/ 605098 w 1366576"/>
                <a:gd name="connsiteY3" fmla="*/ 1030187 h 1131044"/>
                <a:gd name="connsiteX4" fmla="*/ 599490 w 1366576"/>
                <a:gd name="connsiteY4" fmla="*/ 656388 h 1131044"/>
                <a:gd name="connsiteX0" fmla="*/ 494 w 1366576"/>
                <a:gd name="connsiteY0" fmla="*/ 776919 h 1131044"/>
                <a:gd name="connsiteX1" fmla="*/ 765703 w 1366576"/>
                <a:gd name="connsiteY1" fmla="*/ 110992 h 1131044"/>
                <a:gd name="connsiteX2" fmla="*/ 1366576 w 1366576"/>
                <a:gd name="connsiteY2" fmla="*/ 0 h 1131044"/>
                <a:gd name="connsiteX3" fmla="*/ 601310 w 1366576"/>
                <a:gd name="connsiteY3" fmla="*/ 665637 h 1131044"/>
                <a:gd name="connsiteX4" fmla="*/ 494 w 1366576"/>
                <a:gd name="connsiteY4" fmla="*/ 776919 h 1131044"/>
                <a:gd name="connsiteX0" fmla="*/ 2830 w 1366576"/>
                <a:gd name="connsiteY0" fmla="*/ 776459 h 1131044"/>
                <a:gd name="connsiteX1" fmla="*/ 765703 w 1366576"/>
                <a:gd name="connsiteY1" fmla="*/ 110992 h 1131044"/>
                <a:gd name="connsiteX2" fmla="*/ 1366576 w 1366576"/>
                <a:gd name="connsiteY2" fmla="*/ 0 h 1131044"/>
                <a:gd name="connsiteX3" fmla="*/ 1366576 w 1366576"/>
                <a:gd name="connsiteY3" fmla="*/ 394118 h 1131044"/>
                <a:gd name="connsiteX4" fmla="*/ 594029 w 1366576"/>
                <a:gd name="connsiteY4" fmla="*/ 1022758 h 1131044"/>
                <a:gd name="connsiteX5" fmla="*/ 55722 w 1366576"/>
                <a:gd name="connsiteY5" fmla="*/ 1131044 h 1131044"/>
                <a:gd name="connsiteX6" fmla="*/ 2830 w 1366576"/>
                <a:gd name="connsiteY6" fmla="*/ 776459 h 1131044"/>
                <a:gd name="connsiteX7" fmla="*/ 2739 w 1366576"/>
                <a:gd name="connsiteY7" fmla="*/ 775977 h 1131044"/>
                <a:gd name="connsiteX8" fmla="*/ 580991 w 1366576"/>
                <a:gd name="connsiteY8" fmla="*/ 660029 h 1131044"/>
                <a:gd name="connsiteX9" fmla="*/ 1366576 w 1366576"/>
                <a:gd name="connsiteY9" fmla="*/ 0 h 1131044"/>
                <a:gd name="connsiteX10" fmla="*/ 586600 w 1366576"/>
                <a:gd name="connsiteY10" fmla="*/ 639710 h 1131044"/>
                <a:gd name="connsiteX11" fmla="*/ 612528 w 1366576"/>
                <a:gd name="connsiteY11" fmla="*/ 1019118 h 1131044"/>
                <a:gd name="connsiteX0" fmla="*/ 35 w 1366576"/>
                <a:gd name="connsiteY0" fmla="*/ 774583 h 1129665"/>
                <a:gd name="connsiteX1" fmla="*/ 597670 w 1366576"/>
                <a:gd name="connsiteY1" fmla="*/ 647139 h 1129665"/>
                <a:gd name="connsiteX2" fmla="*/ 601458 w 1366576"/>
                <a:gd name="connsiteY2" fmla="*/ 1011689 h 1129665"/>
                <a:gd name="connsiteX3" fmla="*/ 57599 w 1366576"/>
                <a:gd name="connsiteY3" fmla="*/ 1128249 h 1129665"/>
                <a:gd name="connsiteX4" fmla="*/ 35 w 1366576"/>
                <a:gd name="connsiteY4" fmla="*/ 774583 h 1129665"/>
                <a:gd name="connsiteX0" fmla="*/ 599490 w 1366576"/>
                <a:gd name="connsiteY0" fmla="*/ 656388 h 1129665"/>
                <a:gd name="connsiteX1" fmla="*/ 1366576 w 1366576"/>
                <a:gd name="connsiteY1" fmla="*/ 0 h 1129665"/>
                <a:gd name="connsiteX2" fmla="*/ 1366576 w 1366576"/>
                <a:gd name="connsiteY2" fmla="*/ 394118 h 1129665"/>
                <a:gd name="connsiteX3" fmla="*/ 605098 w 1366576"/>
                <a:gd name="connsiteY3" fmla="*/ 1030187 h 1129665"/>
                <a:gd name="connsiteX4" fmla="*/ 599490 w 1366576"/>
                <a:gd name="connsiteY4" fmla="*/ 656388 h 1129665"/>
                <a:gd name="connsiteX0" fmla="*/ 494 w 1366576"/>
                <a:gd name="connsiteY0" fmla="*/ 77691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601310 w 1366576"/>
                <a:gd name="connsiteY3" fmla="*/ 665637 h 1129665"/>
                <a:gd name="connsiteX4" fmla="*/ 494 w 1366576"/>
                <a:gd name="connsiteY4" fmla="*/ 776919 h 1129665"/>
                <a:gd name="connsiteX0" fmla="*/ 2830 w 1366576"/>
                <a:gd name="connsiteY0" fmla="*/ 77645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1366576 w 1366576"/>
                <a:gd name="connsiteY3" fmla="*/ 394118 h 1129665"/>
                <a:gd name="connsiteX4" fmla="*/ 594029 w 1366576"/>
                <a:gd name="connsiteY4" fmla="*/ 1022758 h 1129665"/>
                <a:gd name="connsiteX5" fmla="*/ 62732 w 1366576"/>
                <a:gd name="connsiteY5" fmla="*/ 1129665 h 1129665"/>
                <a:gd name="connsiteX6" fmla="*/ 2830 w 1366576"/>
                <a:gd name="connsiteY6" fmla="*/ 776459 h 1129665"/>
                <a:gd name="connsiteX7" fmla="*/ 2739 w 1366576"/>
                <a:gd name="connsiteY7" fmla="*/ 775977 h 1129665"/>
                <a:gd name="connsiteX8" fmla="*/ 580991 w 1366576"/>
                <a:gd name="connsiteY8" fmla="*/ 660029 h 1129665"/>
                <a:gd name="connsiteX9" fmla="*/ 1366576 w 1366576"/>
                <a:gd name="connsiteY9" fmla="*/ 0 h 1129665"/>
                <a:gd name="connsiteX10" fmla="*/ 586600 w 1366576"/>
                <a:gd name="connsiteY10" fmla="*/ 639710 h 1129665"/>
                <a:gd name="connsiteX11" fmla="*/ 612528 w 1366576"/>
                <a:gd name="connsiteY11" fmla="*/ 1019118 h 1129665"/>
                <a:gd name="connsiteX0" fmla="*/ 35 w 1366576"/>
                <a:gd name="connsiteY0" fmla="*/ 774583 h 1129665"/>
                <a:gd name="connsiteX1" fmla="*/ 597670 w 1366576"/>
                <a:gd name="connsiteY1" fmla="*/ 647139 h 1129665"/>
                <a:gd name="connsiteX2" fmla="*/ 601458 w 1366576"/>
                <a:gd name="connsiteY2" fmla="*/ 1011689 h 1129665"/>
                <a:gd name="connsiteX3" fmla="*/ 57599 w 1366576"/>
                <a:gd name="connsiteY3" fmla="*/ 1128249 h 1129665"/>
                <a:gd name="connsiteX4" fmla="*/ 35 w 1366576"/>
                <a:gd name="connsiteY4" fmla="*/ 774583 h 1129665"/>
                <a:gd name="connsiteX0" fmla="*/ 599490 w 1366576"/>
                <a:gd name="connsiteY0" fmla="*/ 656388 h 1129665"/>
                <a:gd name="connsiteX1" fmla="*/ 1366576 w 1366576"/>
                <a:gd name="connsiteY1" fmla="*/ 0 h 1129665"/>
                <a:gd name="connsiteX2" fmla="*/ 1366576 w 1366576"/>
                <a:gd name="connsiteY2" fmla="*/ 394118 h 1129665"/>
                <a:gd name="connsiteX3" fmla="*/ 605098 w 1366576"/>
                <a:gd name="connsiteY3" fmla="*/ 1030187 h 1129665"/>
                <a:gd name="connsiteX4" fmla="*/ 599490 w 1366576"/>
                <a:gd name="connsiteY4" fmla="*/ 656388 h 1129665"/>
                <a:gd name="connsiteX0" fmla="*/ 494 w 1366576"/>
                <a:gd name="connsiteY0" fmla="*/ 77691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601310 w 1366576"/>
                <a:gd name="connsiteY3" fmla="*/ 665637 h 1129665"/>
                <a:gd name="connsiteX4" fmla="*/ 494 w 1366576"/>
                <a:gd name="connsiteY4" fmla="*/ 776919 h 1129665"/>
                <a:gd name="connsiteX0" fmla="*/ 2830 w 1366576"/>
                <a:gd name="connsiteY0" fmla="*/ 77645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1366576 w 1366576"/>
                <a:gd name="connsiteY3" fmla="*/ 394118 h 1129665"/>
                <a:gd name="connsiteX4" fmla="*/ 594029 w 1366576"/>
                <a:gd name="connsiteY4" fmla="*/ 1022758 h 1129665"/>
                <a:gd name="connsiteX5" fmla="*/ 62732 w 1366576"/>
                <a:gd name="connsiteY5" fmla="*/ 1129665 h 1129665"/>
                <a:gd name="connsiteX6" fmla="*/ 2830 w 1366576"/>
                <a:gd name="connsiteY6" fmla="*/ 776459 h 1129665"/>
                <a:gd name="connsiteX7" fmla="*/ 2739 w 1366576"/>
                <a:gd name="connsiteY7" fmla="*/ 775977 h 1129665"/>
                <a:gd name="connsiteX8" fmla="*/ 580991 w 1366576"/>
                <a:gd name="connsiteY8" fmla="*/ 660029 h 1129665"/>
                <a:gd name="connsiteX9" fmla="*/ 1366576 w 1366576"/>
                <a:gd name="connsiteY9" fmla="*/ 0 h 1129665"/>
                <a:gd name="connsiteX10" fmla="*/ 586600 w 1366576"/>
                <a:gd name="connsiteY10" fmla="*/ 639710 h 1129665"/>
                <a:gd name="connsiteX11" fmla="*/ 661593 w 1366576"/>
                <a:gd name="connsiteY11" fmla="*/ 1009461 h 1129665"/>
                <a:gd name="connsiteX0" fmla="*/ 35 w 1366576"/>
                <a:gd name="connsiteY0" fmla="*/ 774583 h 1129665"/>
                <a:gd name="connsiteX1" fmla="*/ 597670 w 1366576"/>
                <a:gd name="connsiteY1" fmla="*/ 647139 h 1129665"/>
                <a:gd name="connsiteX2" fmla="*/ 601458 w 1366576"/>
                <a:gd name="connsiteY2" fmla="*/ 1011689 h 1129665"/>
                <a:gd name="connsiteX3" fmla="*/ 57599 w 1366576"/>
                <a:gd name="connsiteY3" fmla="*/ 1128249 h 1129665"/>
                <a:gd name="connsiteX4" fmla="*/ 35 w 1366576"/>
                <a:gd name="connsiteY4" fmla="*/ 774583 h 1129665"/>
                <a:gd name="connsiteX0" fmla="*/ 599490 w 1366576"/>
                <a:gd name="connsiteY0" fmla="*/ 656388 h 1129665"/>
                <a:gd name="connsiteX1" fmla="*/ 1366576 w 1366576"/>
                <a:gd name="connsiteY1" fmla="*/ 0 h 1129665"/>
                <a:gd name="connsiteX2" fmla="*/ 1366576 w 1366576"/>
                <a:gd name="connsiteY2" fmla="*/ 394118 h 1129665"/>
                <a:gd name="connsiteX3" fmla="*/ 605098 w 1366576"/>
                <a:gd name="connsiteY3" fmla="*/ 1030187 h 1129665"/>
                <a:gd name="connsiteX4" fmla="*/ 599490 w 1366576"/>
                <a:gd name="connsiteY4" fmla="*/ 656388 h 1129665"/>
                <a:gd name="connsiteX0" fmla="*/ 494 w 1366576"/>
                <a:gd name="connsiteY0" fmla="*/ 77691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601310 w 1366576"/>
                <a:gd name="connsiteY3" fmla="*/ 665637 h 1129665"/>
                <a:gd name="connsiteX4" fmla="*/ 494 w 1366576"/>
                <a:gd name="connsiteY4" fmla="*/ 776919 h 1129665"/>
                <a:gd name="connsiteX0" fmla="*/ 2830 w 1366576"/>
                <a:gd name="connsiteY0" fmla="*/ 77645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1366576 w 1366576"/>
                <a:gd name="connsiteY3" fmla="*/ 394118 h 1129665"/>
                <a:gd name="connsiteX4" fmla="*/ 651023 w 1366576"/>
                <a:gd name="connsiteY4" fmla="*/ 1016394 h 1129665"/>
                <a:gd name="connsiteX5" fmla="*/ 62732 w 1366576"/>
                <a:gd name="connsiteY5" fmla="*/ 1129665 h 1129665"/>
                <a:gd name="connsiteX6" fmla="*/ 2830 w 1366576"/>
                <a:gd name="connsiteY6" fmla="*/ 776459 h 1129665"/>
                <a:gd name="connsiteX7" fmla="*/ 2739 w 1366576"/>
                <a:gd name="connsiteY7" fmla="*/ 775977 h 1129665"/>
                <a:gd name="connsiteX8" fmla="*/ 580991 w 1366576"/>
                <a:gd name="connsiteY8" fmla="*/ 660029 h 1129665"/>
                <a:gd name="connsiteX9" fmla="*/ 1366576 w 1366576"/>
                <a:gd name="connsiteY9" fmla="*/ 0 h 1129665"/>
                <a:gd name="connsiteX10" fmla="*/ 586600 w 1366576"/>
                <a:gd name="connsiteY10" fmla="*/ 639710 h 1129665"/>
                <a:gd name="connsiteX11" fmla="*/ 661593 w 1366576"/>
                <a:gd name="connsiteY11" fmla="*/ 1009461 h 1129665"/>
                <a:gd name="connsiteX0" fmla="*/ 35 w 1366576"/>
                <a:gd name="connsiteY0" fmla="*/ 774583 h 1129665"/>
                <a:gd name="connsiteX1" fmla="*/ 597670 w 1366576"/>
                <a:gd name="connsiteY1" fmla="*/ 647139 h 1129665"/>
                <a:gd name="connsiteX2" fmla="*/ 660291 w 1366576"/>
                <a:gd name="connsiteY2" fmla="*/ 1014672 h 1129665"/>
                <a:gd name="connsiteX3" fmla="*/ 57599 w 1366576"/>
                <a:gd name="connsiteY3" fmla="*/ 1128249 h 1129665"/>
                <a:gd name="connsiteX4" fmla="*/ 35 w 1366576"/>
                <a:gd name="connsiteY4" fmla="*/ 774583 h 1129665"/>
                <a:gd name="connsiteX0" fmla="*/ 599490 w 1366576"/>
                <a:gd name="connsiteY0" fmla="*/ 656388 h 1129665"/>
                <a:gd name="connsiteX1" fmla="*/ 1366576 w 1366576"/>
                <a:gd name="connsiteY1" fmla="*/ 0 h 1129665"/>
                <a:gd name="connsiteX2" fmla="*/ 1366576 w 1366576"/>
                <a:gd name="connsiteY2" fmla="*/ 394118 h 1129665"/>
                <a:gd name="connsiteX3" fmla="*/ 605098 w 1366576"/>
                <a:gd name="connsiteY3" fmla="*/ 1030187 h 1129665"/>
                <a:gd name="connsiteX4" fmla="*/ 599490 w 1366576"/>
                <a:gd name="connsiteY4" fmla="*/ 656388 h 1129665"/>
                <a:gd name="connsiteX0" fmla="*/ 494 w 1366576"/>
                <a:gd name="connsiteY0" fmla="*/ 77691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601310 w 1366576"/>
                <a:gd name="connsiteY3" fmla="*/ 665637 h 1129665"/>
                <a:gd name="connsiteX4" fmla="*/ 494 w 1366576"/>
                <a:gd name="connsiteY4" fmla="*/ 776919 h 1129665"/>
                <a:gd name="connsiteX0" fmla="*/ 2830 w 1366576"/>
                <a:gd name="connsiteY0" fmla="*/ 77645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1366576 w 1366576"/>
                <a:gd name="connsiteY3" fmla="*/ 394118 h 1129665"/>
                <a:gd name="connsiteX4" fmla="*/ 651023 w 1366576"/>
                <a:gd name="connsiteY4" fmla="*/ 1016394 h 1129665"/>
                <a:gd name="connsiteX5" fmla="*/ 62732 w 1366576"/>
                <a:gd name="connsiteY5" fmla="*/ 1129665 h 1129665"/>
                <a:gd name="connsiteX6" fmla="*/ 2830 w 1366576"/>
                <a:gd name="connsiteY6" fmla="*/ 776459 h 1129665"/>
                <a:gd name="connsiteX7" fmla="*/ 2739 w 1366576"/>
                <a:gd name="connsiteY7" fmla="*/ 775977 h 1129665"/>
                <a:gd name="connsiteX8" fmla="*/ 580991 w 1366576"/>
                <a:gd name="connsiteY8" fmla="*/ 660029 h 1129665"/>
                <a:gd name="connsiteX9" fmla="*/ 1366576 w 1366576"/>
                <a:gd name="connsiteY9" fmla="*/ 0 h 1129665"/>
                <a:gd name="connsiteX10" fmla="*/ 586600 w 1366576"/>
                <a:gd name="connsiteY10" fmla="*/ 639710 h 1129665"/>
                <a:gd name="connsiteX11" fmla="*/ 661593 w 1366576"/>
                <a:gd name="connsiteY11" fmla="*/ 1009461 h 1129665"/>
                <a:gd name="connsiteX0" fmla="*/ 35 w 1366576"/>
                <a:gd name="connsiteY0" fmla="*/ 774583 h 1129665"/>
                <a:gd name="connsiteX1" fmla="*/ 597670 w 1366576"/>
                <a:gd name="connsiteY1" fmla="*/ 647139 h 1129665"/>
                <a:gd name="connsiteX2" fmla="*/ 660291 w 1366576"/>
                <a:gd name="connsiteY2" fmla="*/ 1014672 h 1129665"/>
                <a:gd name="connsiteX3" fmla="*/ 57599 w 1366576"/>
                <a:gd name="connsiteY3" fmla="*/ 1128249 h 1129665"/>
                <a:gd name="connsiteX4" fmla="*/ 35 w 1366576"/>
                <a:gd name="connsiteY4" fmla="*/ 774583 h 1129665"/>
                <a:gd name="connsiteX0" fmla="*/ 599490 w 1366576"/>
                <a:gd name="connsiteY0" fmla="*/ 656388 h 1129665"/>
                <a:gd name="connsiteX1" fmla="*/ 1366576 w 1366576"/>
                <a:gd name="connsiteY1" fmla="*/ 0 h 1129665"/>
                <a:gd name="connsiteX2" fmla="*/ 1366576 w 1366576"/>
                <a:gd name="connsiteY2" fmla="*/ 394118 h 1129665"/>
                <a:gd name="connsiteX3" fmla="*/ 652286 w 1366576"/>
                <a:gd name="connsiteY3" fmla="*/ 1023326 h 1129665"/>
                <a:gd name="connsiteX4" fmla="*/ 599490 w 1366576"/>
                <a:gd name="connsiteY4" fmla="*/ 656388 h 1129665"/>
                <a:gd name="connsiteX0" fmla="*/ 494 w 1366576"/>
                <a:gd name="connsiteY0" fmla="*/ 77691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601310 w 1366576"/>
                <a:gd name="connsiteY3" fmla="*/ 665637 h 1129665"/>
                <a:gd name="connsiteX4" fmla="*/ 494 w 1366576"/>
                <a:gd name="connsiteY4" fmla="*/ 776919 h 1129665"/>
                <a:gd name="connsiteX0" fmla="*/ 2830 w 1366576"/>
                <a:gd name="connsiteY0" fmla="*/ 776459 h 1129665"/>
                <a:gd name="connsiteX1" fmla="*/ 765703 w 1366576"/>
                <a:gd name="connsiteY1" fmla="*/ 110992 h 1129665"/>
                <a:gd name="connsiteX2" fmla="*/ 1366576 w 1366576"/>
                <a:gd name="connsiteY2" fmla="*/ 0 h 1129665"/>
                <a:gd name="connsiteX3" fmla="*/ 1366576 w 1366576"/>
                <a:gd name="connsiteY3" fmla="*/ 394118 h 1129665"/>
                <a:gd name="connsiteX4" fmla="*/ 651023 w 1366576"/>
                <a:gd name="connsiteY4" fmla="*/ 1016394 h 1129665"/>
                <a:gd name="connsiteX5" fmla="*/ 62732 w 1366576"/>
                <a:gd name="connsiteY5" fmla="*/ 1129665 h 1129665"/>
                <a:gd name="connsiteX6" fmla="*/ 2830 w 1366576"/>
                <a:gd name="connsiteY6" fmla="*/ 776459 h 1129665"/>
                <a:gd name="connsiteX7" fmla="*/ 2739 w 1366576"/>
                <a:gd name="connsiteY7" fmla="*/ 775977 h 1129665"/>
                <a:gd name="connsiteX8" fmla="*/ 580991 w 1366576"/>
                <a:gd name="connsiteY8" fmla="*/ 660029 h 1129665"/>
                <a:gd name="connsiteX9" fmla="*/ 1366576 w 1366576"/>
                <a:gd name="connsiteY9" fmla="*/ 0 h 1129665"/>
                <a:gd name="connsiteX10" fmla="*/ 586600 w 1366576"/>
                <a:gd name="connsiteY10" fmla="*/ 639710 h 1129665"/>
                <a:gd name="connsiteX11" fmla="*/ 661593 w 1366576"/>
                <a:gd name="connsiteY11" fmla="*/ 1009461 h 1129665"/>
                <a:gd name="connsiteX0" fmla="*/ 35 w 1425099"/>
                <a:gd name="connsiteY0" fmla="*/ 774583 h 1129665"/>
                <a:gd name="connsiteX1" fmla="*/ 597670 w 1425099"/>
                <a:gd name="connsiteY1" fmla="*/ 647139 h 1129665"/>
                <a:gd name="connsiteX2" fmla="*/ 660291 w 1425099"/>
                <a:gd name="connsiteY2" fmla="*/ 1014672 h 1129665"/>
                <a:gd name="connsiteX3" fmla="*/ 57599 w 1425099"/>
                <a:gd name="connsiteY3" fmla="*/ 1128249 h 1129665"/>
                <a:gd name="connsiteX4" fmla="*/ 35 w 1425099"/>
                <a:gd name="connsiteY4" fmla="*/ 774583 h 1129665"/>
                <a:gd name="connsiteX0" fmla="*/ 599490 w 1425099"/>
                <a:gd name="connsiteY0" fmla="*/ 656388 h 1129665"/>
                <a:gd name="connsiteX1" fmla="*/ 1366576 w 1425099"/>
                <a:gd name="connsiteY1" fmla="*/ 0 h 1129665"/>
                <a:gd name="connsiteX2" fmla="*/ 1366576 w 1425099"/>
                <a:gd name="connsiteY2" fmla="*/ 394118 h 1129665"/>
                <a:gd name="connsiteX3" fmla="*/ 652286 w 1425099"/>
                <a:gd name="connsiteY3" fmla="*/ 1023326 h 1129665"/>
                <a:gd name="connsiteX4" fmla="*/ 599490 w 1425099"/>
                <a:gd name="connsiteY4" fmla="*/ 656388 h 1129665"/>
                <a:gd name="connsiteX0" fmla="*/ 494 w 1425099"/>
                <a:gd name="connsiteY0" fmla="*/ 776919 h 1129665"/>
                <a:gd name="connsiteX1" fmla="*/ 765703 w 1425099"/>
                <a:gd name="connsiteY1" fmla="*/ 110992 h 1129665"/>
                <a:gd name="connsiteX2" fmla="*/ 1366576 w 1425099"/>
                <a:gd name="connsiteY2" fmla="*/ 0 h 1129665"/>
                <a:gd name="connsiteX3" fmla="*/ 601310 w 1425099"/>
                <a:gd name="connsiteY3" fmla="*/ 665637 h 1129665"/>
                <a:gd name="connsiteX4" fmla="*/ 494 w 1425099"/>
                <a:gd name="connsiteY4" fmla="*/ 776919 h 1129665"/>
                <a:gd name="connsiteX0" fmla="*/ 2830 w 1425099"/>
                <a:gd name="connsiteY0" fmla="*/ 776459 h 1129665"/>
                <a:gd name="connsiteX1" fmla="*/ 765703 w 1425099"/>
                <a:gd name="connsiteY1" fmla="*/ 110992 h 1129665"/>
                <a:gd name="connsiteX2" fmla="*/ 1366576 w 1425099"/>
                <a:gd name="connsiteY2" fmla="*/ 0 h 1129665"/>
                <a:gd name="connsiteX3" fmla="*/ 1425099 w 1425099"/>
                <a:gd name="connsiteY3" fmla="*/ 346195 h 1129665"/>
                <a:gd name="connsiteX4" fmla="*/ 651023 w 1425099"/>
                <a:gd name="connsiteY4" fmla="*/ 1016394 h 1129665"/>
                <a:gd name="connsiteX5" fmla="*/ 62732 w 1425099"/>
                <a:gd name="connsiteY5" fmla="*/ 1129665 h 1129665"/>
                <a:gd name="connsiteX6" fmla="*/ 2830 w 1425099"/>
                <a:gd name="connsiteY6" fmla="*/ 776459 h 1129665"/>
                <a:gd name="connsiteX7" fmla="*/ 2739 w 1425099"/>
                <a:gd name="connsiteY7" fmla="*/ 775977 h 1129665"/>
                <a:gd name="connsiteX8" fmla="*/ 580991 w 1425099"/>
                <a:gd name="connsiteY8" fmla="*/ 660029 h 1129665"/>
                <a:gd name="connsiteX9" fmla="*/ 1366576 w 1425099"/>
                <a:gd name="connsiteY9" fmla="*/ 0 h 1129665"/>
                <a:gd name="connsiteX10" fmla="*/ 586600 w 1425099"/>
                <a:gd name="connsiteY10" fmla="*/ 639710 h 1129665"/>
                <a:gd name="connsiteX11" fmla="*/ 661593 w 1425099"/>
                <a:gd name="connsiteY11" fmla="*/ 1009461 h 1129665"/>
                <a:gd name="connsiteX0" fmla="*/ 35 w 1427436"/>
                <a:gd name="connsiteY0" fmla="*/ 774583 h 1129665"/>
                <a:gd name="connsiteX1" fmla="*/ 597670 w 1427436"/>
                <a:gd name="connsiteY1" fmla="*/ 647139 h 1129665"/>
                <a:gd name="connsiteX2" fmla="*/ 660291 w 1427436"/>
                <a:gd name="connsiteY2" fmla="*/ 1014672 h 1129665"/>
                <a:gd name="connsiteX3" fmla="*/ 57599 w 1427436"/>
                <a:gd name="connsiteY3" fmla="*/ 1128249 h 1129665"/>
                <a:gd name="connsiteX4" fmla="*/ 35 w 1427436"/>
                <a:gd name="connsiteY4" fmla="*/ 774583 h 1129665"/>
                <a:gd name="connsiteX0" fmla="*/ 599490 w 1427436"/>
                <a:gd name="connsiteY0" fmla="*/ 656388 h 1129665"/>
                <a:gd name="connsiteX1" fmla="*/ 1366576 w 1427436"/>
                <a:gd name="connsiteY1" fmla="*/ 0 h 1129665"/>
                <a:gd name="connsiteX2" fmla="*/ 1427436 w 1427436"/>
                <a:gd name="connsiteY2" fmla="*/ 345736 h 1129665"/>
                <a:gd name="connsiteX3" fmla="*/ 652286 w 1427436"/>
                <a:gd name="connsiteY3" fmla="*/ 1023326 h 1129665"/>
                <a:gd name="connsiteX4" fmla="*/ 599490 w 1427436"/>
                <a:gd name="connsiteY4" fmla="*/ 656388 h 1129665"/>
                <a:gd name="connsiteX0" fmla="*/ 494 w 1427436"/>
                <a:gd name="connsiteY0" fmla="*/ 776919 h 1129665"/>
                <a:gd name="connsiteX1" fmla="*/ 765703 w 1427436"/>
                <a:gd name="connsiteY1" fmla="*/ 110992 h 1129665"/>
                <a:gd name="connsiteX2" fmla="*/ 1366576 w 1427436"/>
                <a:gd name="connsiteY2" fmla="*/ 0 h 1129665"/>
                <a:gd name="connsiteX3" fmla="*/ 601310 w 1427436"/>
                <a:gd name="connsiteY3" fmla="*/ 665637 h 1129665"/>
                <a:gd name="connsiteX4" fmla="*/ 494 w 1427436"/>
                <a:gd name="connsiteY4" fmla="*/ 776919 h 1129665"/>
                <a:gd name="connsiteX0" fmla="*/ 2830 w 1427436"/>
                <a:gd name="connsiteY0" fmla="*/ 776459 h 1129665"/>
                <a:gd name="connsiteX1" fmla="*/ 765703 w 1427436"/>
                <a:gd name="connsiteY1" fmla="*/ 110992 h 1129665"/>
                <a:gd name="connsiteX2" fmla="*/ 1366576 w 1427436"/>
                <a:gd name="connsiteY2" fmla="*/ 0 h 1129665"/>
                <a:gd name="connsiteX3" fmla="*/ 1425099 w 1427436"/>
                <a:gd name="connsiteY3" fmla="*/ 346195 h 1129665"/>
                <a:gd name="connsiteX4" fmla="*/ 651023 w 1427436"/>
                <a:gd name="connsiteY4" fmla="*/ 1016394 h 1129665"/>
                <a:gd name="connsiteX5" fmla="*/ 62732 w 1427436"/>
                <a:gd name="connsiteY5" fmla="*/ 1129665 h 1129665"/>
                <a:gd name="connsiteX6" fmla="*/ 2830 w 1427436"/>
                <a:gd name="connsiteY6" fmla="*/ 776459 h 1129665"/>
                <a:gd name="connsiteX7" fmla="*/ 2739 w 1427436"/>
                <a:gd name="connsiteY7" fmla="*/ 775977 h 1129665"/>
                <a:gd name="connsiteX8" fmla="*/ 580991 w 1427436"/>
                <a:gd name="connsiteY8" fmla="*/ 660029 h 1129665"/>
                <a:gd name="connsiteX9" fmla="*/ 1366576 w 1427436"/>
                <a:gd name="connsiteY9" fmla="*/ 0 h 1129665"/>
                <a:gd name="connsiteX10" fmla="*/ 586600 w 1427436"/>
                <a:gd name="connsiteY10" fmla="*/ 639710 h 1129665"/>
                <a:gd name="connsiteX11" fmla="*/ 661593 w 1427436"/>
                <a:gd name="connsiteY11" fmla="*/ 1009461 h 112966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</a:cxnLst>
              <a:rect l="l" t="t" r="r" b="b"/>
              <a:pathLst>
                <a:path w="1427436" h="1129665" stroke="0" extrusionOk="0">
                  <a:moveTo>
                    <a:pt x="35" y="774583"/>
                  </a:moveTo>
                  <a:lnTo>
                    <a:pt x="597670" y="647139"/>
                  </a:lnTo>
                  <a:cubicBezTo>
                    <a:pt x="598933" y="768656"/>
                    <a:pt x="659028" y="893155"/>
                    <a:pt x="660291" y="1014672"/>
                  </a:cubicBezTo>
                  <a:lnTo>
                    <a:pt x="57599" y="1128249"/>
                  </a:lnTo>
                  <a:cubicBezTo>
                    <a:pt x="59285" y="1005443"/>
                    <a:pt x="-1651" y="897389"/>
                    <a:pt x="35" y="774583"/>
                  </a:cubicBezTo>
                  <a:close/>
                </a:path>
                <a:path w="1427436" h="1129665" fill="darkenLess" stroke="0" extrusionOk="0">
                  <a:moveTo>
                    <a:pt x="599490" y="656388"/>
                  </a:moveTo>
                  <a:lnTo>
                    <a:pt x="1366576" y="0"/>
                  </a:lnTo>
                  <a:lnTo>
                    <a:pt x="1427436" y="345736"/>
                  </a:lnTo>
                  <a:lnTo>
                    <a:pt x="652286" y="1023326"/>
                  </a:lnTo>
                  <a:cubicBezTo>
                    <a:pt x="650417" y="898726"/>
                    <a:pt x="601359" y="780988"/>
                    <a:pt x="599490" y="656388"/>
                  </a:cubicBezTo>
                  <a:close/>
                </a:path>
                <a:path w="1427436" h="1129665" fill="lightenLess" stroke="0" extrusionOk="0">
                  <a:moveTo>
                    <a:pt x="494" y="776919"/>
                  </a:moveTo>
                  <a:lnTo>
                    <a:pt x="765703" y="110992"/>
                  </a:lnTo>
                  <a:lnTo>
                    <a:pt x="1366576" y="0"/>
                  </a:lnTo>
                  <a:lnTo>
                    <a:pt x="601310" y="665637"/>
                  </a:lnTo>
                  <a:lnTo>
                    <a:pt x="494" y="776919"/>
                  </a:lnTo>
                  <a:close/>
                </a:path>
                <a:path w="1427436" h="1129665" fill="none" extrusionOk="0">
                  <a:moveTo>
                    <a:pt x="2830" y="776459"/>
                  </a:moveTo>
                  <a:lnTo>
                    <a:pt x="765703" y="110992"/>
                  </a:lnTo>
                  <a:lnTo>
                    <a:pt x="1366576" y="0"/>
                  </a:lnTo>
                  <a:lnTo>
                    <a:pt x="1425099" y="346195"/>
                  </a:lnTo>
                  <a:lnTo>
                    <a:pt x="651023" y="1016394"/>
                  </a:lnTo>
                  <a:lnTo>
                    <a:pt x="62732" y="1129665"/>
                  </a:lnTo>
                  <a:lnTo>
                    <a:pt x="2830" y="776459"/>
                  </a:lnTo>
                  <a:close/>
                  <a:moveTo>
                    <a:pt x="2739" y="775977"/>
                  </a:moveTo>
                  <a:lnTo>
                    <a:pt x="580991" y="660029"/>
                  </a:lnTo>
                  <a:lnTo>
                    <a:pt x="1366576" y="0"/>
                  </a:lnTo>
                  <a:moveTo>
                    <a:pt x="586600" y="639710"/>
                  </a:moveTo>
                  <a:lnTo>
                    <a:pt x="661593" y="1009461"/>
                  </a:lnTo>
                </a:path>
              </a:pathLst>
            </a:custGeom>
            <a:solidFill>
              <a:schemeClr val="accent1">
                <a:alpha val="50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1"/>
            </a:p>
          </xdr:txBody>
        </xdr:sp>
        <xdr:sp macro="" textlink="">
          <xdr:nvSpPr>
            <xdr:cNvPr id="38" name="Parallelogram 37">
              <a:extLst>
                <a:ext uri="{FF2B5EF4-FFF2-40B4-BE49-F238E27FC236}">
                  <a16:creationId xmlns:a16="http://schemas.microsoft.com/office/drawing/2014/main" id="{00000000-0008-0000-0300-000026000000}"/>
                </a:ext>
              </a:extLst>
            </xdr:cNvPr>
            <xdr:cNvSpPr/>
          </xdr:nvSpPr>
          <xdr:spPr>
            <a:xfrm>
              <a:off x="4352925" y="3540919"/>
              <a:ext cx="931068" cy="185737"/>
            </a:xfrm>
            <a:prstGeom prst="parallelogram">
              <a:avLst>
                <a:gd name="adj" fmla="val 169934"/>
              </a:avLst>
            </a:prstGeom>
            <a:solidFill>
              <a:schemeClr val="accent5">
                <a:lumMod val="20000"/>
                <a:lumOff val="80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1"/>
            </a:p>
          </xdr:txBody>
        </xdr:sp>
        <xdr:sp macro="" textlink="">
          <xdr:nvSpPr>
            <xdr:cNvPr id="39" name="Parallelogram 38">
              <a:extLst>
                <a:ext uri="{FF2B5EF4-FFF2-40B4-BE49-F238E27FC236}">
                  <a16:creationId xmlns:a16="http://schemas.microsoft.com/office/drawing/2014/main" id="{00000000-0008-0000-0300-000027000000}"/>
                </a:ext>
              </a:extLst>
            </xdr:cNvPr>
            <xdr:cNvSpPr/>
          </xdr:nvSpPr>
          <xdr:spPr>
            <a:xfrm>
              <a:off x="4922044" y="3231357"/>
              <a:ext cx="912019" cy="171450"/>
            </a:xfrm>
            <a:prstGeom prst="parallelogram">
              <a:avLst>
                <a:gd name="adj" fmla="val 169934"/>
              </a:avLst>
            </a:prstGeom>
            <a:solidFill>
              <a:schemeClr val="accent5">
                <a:lumMod val="20000"/>
                <a:lumOff val="80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1351"/>
            </a:p>
          </xdr:txBody>
        </xdr:sp>
      </xdr:grpSp>
      <xdr:sp macro="" textlink="">
        <xdr:nvSpPr>
          <xdr:cNvPr id="35" name="Parallelogram 20">
            <a:extLst>
              <a:ext uri="{FF2B5EF4-FFF2-40B4-BE49-F238E27FC236}">
                <a16:creationId xmlns:a16="http://schemas.microsoft.com/office/drawing/2014/main" id="{00000000-0008-0000-0300-000023000000}"/>
              </a:ext>
            </a:extLst>
          </xdr:cNvPr>
          <xdr:cNvSpPr/>
        </xdr:nvSpPr>
        <xdr:spPr>
          <a:xfrm>
            <a:off x="8138226" y="1569002"/>
            <a:ext cx="2550226" cy="1089326"/>
          </a:xfrm>
          <a:custGeom>
            <a:avLst/>
            <a:gdLst>
              <a:gd name="connsiteX0" fmla="*/ 0 w 2514600"/>
              <a:gd name="connsiteY0" fmla="*/ 1635592 h 1635592"/>
              <a:gd name="connsiteX1" fmla="*/ 1366799 w 2514600"/>
              <a:gd name="connsiteY1" fmla="*/ 0 h 1635592"/>
              <a:gd name="connsiteX2" fmla="*/ 2514600 w 2514600"/>
              <a:gd name="connsiteY2" fmla="*/ 0 h 1635592"/>
              <a:gd name="connsiteX3" fmla="*/ 1147801 w 2514600"/>
              <a:gd name="connsiteY3" fmla="*/ 1635592 h 1635592"/>
              <a:gd name="connsiteX4" fmla="*/ 0 w 2514600"/>
              <a:gd name="connsiteY4" fmla="*/ 1635592 h 1635592"/>
              <a:gd name="connsiteX0" fmla="*/ 0 w 2514600"/>
              <a:gd name="connsiteY0" fmla="*/ 1635592 h 1635592"/>
              <a:gd name="connsiteX1" fmla="*/ 1366799 w 2514600"/>
              <a:gd name="connsiteY1" fmla="*/ 0 h 1635592"/>
              <a:gd name="connsiteX2" fmla="*/ 2514600 w 2514600"/>
              <a:gd name="connsiteY2" fmla="*/ 0 h 1635592"/>
              <a:gd name="connsiteX3" fmla="*/ 2026575 w 2514600"/>
              <a:gd name="connsiteY3" fmla="*/ 1148704 h 1635592"/>
              <a:gd name="connsiteX4" fmla="*/ 0 w 2514600"/>
              <a:gd name="connsiteY4" fmla="*/ 1635592 h 1635592"/>
              <a:gd name="connsiteX0" fmla="*/ 0 w 2514600"/>
              <a:gd name="connsiteY0" fmla="*/ 1635592 h 1635592"/>
              <a:gd name="connsiteX1" fmla="*/ 666154 w 2514600"/>
              <a:gd name="connsiteY1" fmla="*/ 166254 h 1635592"/>
              <a:gd name="connsiteX2" fmla="*/ 2514600 w 2514600"/>
              <a:gd name="connsiteY2" fmla="*/ 0 h 1635592"/>
              <a:gd name="connsiteX3" fmla="*/ 2026575 w 2514600"/>
              <a:gd name="connsiteY3" fmla="*/ 1148704 h 1635592"/>
              <a:gd name="connsiteX4" fmla="*/ 0 w 2514600"/>
              <a:gd name="connsiteY4" fmla="*/ 1635592 h 1635592"/>
              <a:gd name="connsiteX0" fmla="*/ 0 w 2300844"/>
              <a:gd name="connsiteY0" fmla="*/ 1611842 h 1611842"/>
              <a:gd name="connsiteX1" fmla="*/ 666154 w 2300844"/>
              <a:gd name="connsiteY1" fmla="*/ 142504 h 1611842"/>
              <a:gd name="connsiteX2" fmla="*/ 2300844 w 2300844"/>
              <a:gd name="connsiteY2" fmla="*/ 0 h 1611842"/>
              <a:gd name="connsiteX3" fmla="*/ 2026575 w 2300844"/>
              <a:gd name="connsiteY3" fmla="*/ 1124954 h 1611842"/>
              <a:gd name="connsiteX4" fmla="*/ 0 w 2300844"/>
              <a:gd name="connsiteY4" fmla="*/ 1611842 h 1611842"/>
              <a:gd name="connsiteX0" fmla="*/ 0 w 2026575"/>
              <a:gd name="connsiteY0" fmla="*/ 1528715 h 1528715"/>
              <a:gd name="connsiteX1" fmla="*/ 666154 w 2026575"/>
              <a:gd name="connsiteY1" fmla="*/ 59377 h 1528715"/>
              <a:gd name="connsiteX2" fmla="*/ 1932709 w 2026575"/>
              <a:gd name="connsiteY2" fmla="*/ 0 h 1528715"/>
              <a:gd name="connsiteX3" fmla="*/ 2026575 w 2026575"/>
              <a:gd name="connsiteY3" fmla="*/ 1041827 h 1528715"/>
              <a:gd name="connsiteX4" fmla="*/ 0 w 2026575"/>
              <a:gd name="connsiteY4" fmla="*/ 1528715 h 1528715"/>
              <a:gd name="connsiteX0" fmla="*/ 0 w 2526475"/>
              <a:gd name="connsiteY0" fmla="*/ 1623717 h 1623717"/>
              <a:gd name="connsiteX1" fmla="*/ 666154 w 2526475"/>
              <a:gd name="connsiteY1" fmla="*/ 154379 h 1623717"/>
              <a:gd name="connsiteX2" fmla="*/ 2526475 w 2526475"/>
              <a:gd name="connsiteY2" fmla="*/ 0 h 1623717"/>
              <a:gd name="connsiteX3" fmla="*/ 2026575 w 2526475"/>
              <a:gd name="connsiteY3" fmla="*/ 1136829 h 1623717"/>
              <a:gd name="connsiteX4" fmla="*/ 0 w 2526475"/>
              <a:gd name="connsiteY4" fmla="*/ 1623717 h 1623717"/>
              <a:gd name="connsiteX0" fmla="*/ 0 w 2098963"/>
              <a:gd name="connsiteY0" fmla="*/ 1338709 h 1338709"/>
              <a:gd name="connsiteX1" fmla="*/ 238642 w 2098963"/>
              <a:gd name="connsiteY1" fmla="*/ 154379 h 1338709"/>
              <a:gd name="connsiteX2" fmla="*/ 2098963 w 2098963"/>
              <a:gd name="connsiteY2" fmla="*/ 0 h 1338709"/>
              <a:gd name="connsiteX3" fmla="*/ 1599063 w 2098963"/>
              <a:gd name="connsiteY3" fmla="*/ 1136829 h 1338709"/>
              <a:gd name="connsiteX4" fmla="*/ 0 w 2098963"/>
              <a:gd name="connsiteY4" fmla="*/ 1338709 h 1338709"/>
              <a:gd name="connsiteX0" fmla="*/ 0 w 2098963"/>
              <a:gd name="connsiteY0" fmla="*/ 1338709 h 1338709"/>
              <a:gd name="connsiteX1" fmla="*/ 630528 w 2098963"/>
              <a:gd name="connsiteY1" fmla="*/ 118753 h 1338709"/>
              <a:gd name="connsiteX2" fmla="*/ 2098963 w 2098963"/>
              <a:gd name="connsiteY2" fmla="*/ 0 h 1338709"/>
              <a:gd name="connsiteX3" fmla="*/ 1599063 w 2098963"/>
              <a:gd name="connsiteY3" fmla="*/ 1136829 h 1338709"/>
              <a:gd name="connsiteX4" fmla="*/ 0 w 2098963"/>
              <a:gd name="connsiteY4" fmla="*/ 1338709 h 1338709"/>
              <a:gd name="connsiteX0" fmla="*/ 0 w 2098963"/>
              <a:gd name="connsiteY0" fmla="*/ 1338709 h 1338709"/>
              <a:gd name="connsiteX1" fmla="*/ 998663 w 2098963"/>
              <a:gd name="connsiteY1" fmla="*/ 213756 h 1338709"/>
              <a:gd name="connsiteX2" fmla="*/ 2098963 w 2098963"/>
              <a:gd name="connsiteY2" fmla="*/ 0 h 1338709"/>
              <a:gd name="connsiteX3" fmla="*/ 1599063 w 2098963"/>
              <a:gd name="connsiteY3" fmla="*/ 1136829 h 1338709"/>
              <a:gd name="connsiteX4" fmla="*/ 0 w 2098963"/>
              <a:gd name="connsiteY4" fmla="*/ 1338709 h 1338709"/>
              <a:gd name="connsiteX0" fmla="*/ 0 w 2098963"/>
              <a:gd name="connsiteY0" fmla="*/ 1338709 h 1338709"/>
              <a:gd name="connsiteX1" fmla="*/ 998663 w 2098963"/>
              <a:gd name="connsiteY1" fmla="*/ 213756 h 1338709"/>
              <a:gd name="connsiteX2" fmla="*/ 2098963 w 2098963"/>
              <a:gd name="connsiteY2" fmla="*/ 0 h 1338709"/>
              <a:gd name="connsiteX3" fmla="*/ 1207178 w 2098963"/>
              <a:gd name="connsiteY3" fmla="*/ 1184330 h 1338709"/>
              <a:gd name="connsiteX4" fmla="*/ 0 w 2098963"/>
              <a:gd name="connsiteY4" fmla="*/ 1338709 h 1338709"/>
              <a:gd name="connsiteX0" fmla="*/ 0 w 2288968"/>
              <a:gd name="connsiteY0" fmla="*/ 1124953 h 1124953"/>
              <a:gd name="connsiteX1" fmla="*/ 998663 w 2288968"/>
              <a:gd name="connsiteY1" fmla="*/ 0 h 1124953"/>
              <a:gd name="connsiteX2" fmla="*/ 2288968 w 2288968"/>
              <a:gd name="connsiteY2" fmla="*/ 11875 h 1124953"/>
              <a:gd name="connsiteX3" fmla="*/ 1207178 w 2288968"/>
              <a:gd name="connsiteY3" fmla="*/ 970574 h 1124953"/>
              <a:gd name="connsiteX4" fmla="*/ 0 w 2288968"/>
              <a:gd name="connsiteY4" fmla="*/ 1124953 h 1124953"/>
              <a:gd name="connsiteX0" fmla="*/ 0 w 2229592"/>
              <a:gd name="connsiteY0" fmla="*/ 1291208 h 1291208"/>
              <a:gd name="connsiteX1" fmla="*/ 998663 w 2229592"/>
              <a:gd name="connsiteY1" fmla="*/ 166255 h 1291208"/>
              <a:gd name="connsiteX2" fmla="*/ 2229592 w 2229592"/>
              <a:gd name="connsiteY2" fmla="*/ 0 h 1291208"/>
              <a:gd name="connsiteX3" fmla="*/ 1207178 w 2229592"/>
              <a:gd name="connsiteY3" fmla="*/ 1136829 h 1291208"/>
              <a:gd name="connsiteX4" fmla="*/ 0 w 2229592"/>
              <a:gd name="connsiteY4" fmla="*/ 1291208 h 1291208"/>
              <a:gd name="connsiteX0" fmla="*/ 0 w 2229592"/>
              <a:gd name="connsiteY0" fmla="*/ 1291208 h 1291208"/>
              <a:gd name="connsiteX1" fmla="*/ 1200544 w 2229592"/>
              <a:gd name="connsiteY1" fmla="*/ 380011 h 1291208"/>
              <a:gd name="connsiteX2" fmla="*/ 2229592 w 2229592"/>
              <a:gd name="connsiteY2" fmla="*/ 0 h 1291208"/>
              <a:gd name="connsiteX3" fmla="*/ 1207178 w 2229592"/>
              <a:gd name="connsiteY3" fmla="*/ 1136829 h 1291208"/>
              <a:gd name="connsiteX4" fmla="*/ 0 w 2229592"/>
              <a:gd name="connsiteY4" fmla="*/ 1291208 h 1291208"/>
              <a:gd name="connsiteX0" fmla="*/ 0 w 2229592"/>
              <a:gd name="connsiteY0" fmla="*/ 1291208 h 1291208"/>
              <a:gd name="connsiteX1" fmla="*/ 1200544 w 2229592"/>
              <a:gd name="connsiteY1" fmla="*/ 380011 h 1291208"/>
              <a:gd name="connsiteX2" fmla="*/ 2229592 w 2229592"/>
              <a:gd name="connsiteY2" fmla="*/ 0 h 1291208"/>
              <a:gd name="connsiteX3" fmla="*/ 1373433 w 2229592"/>
              <a:gd name="connsiteY3" fmla="*/ 1006201 h 1291208"/>
              <a:gd name="connsiteX4" fmla="*/ 0 w 2229592"/>
              <a:gd name="connsiteY4" fmla="*/ 1291208 h 1291208"/>
              <a:gd name="connsiteX0" fmla="*/ 0 w 2253343"/>
              <a:gd name="connsiteY0" fmla="*/ 1124954 h 1124954"/>
              <a:gd name="connsiteX1" fmla="*/ 1200544 w 2253343"/>
              <a:gd name="connsiteY1" fmla="*/ 213757 h 1124954"/>
              <a:gd name="connsiteX2" fmla="*/ 2253343 w 2253343"/>
              <a:gd name="connsiteY2" fmla="*/ 0 h 1124954"/>
              <a:gd name="connsiteX3" fmla="*/ 1373433 w 2253343"/>
              <a:gd name="connsiteY3" fmla="*/ 839947 h 1124954"/>
              <a:gd name="connsiteX4" fmla="*/ 0 w 2253343"/>
              <a:gd name="connsiteY4" fmla="*/ 1124954 h 1124954"/>
              <a:gd name="connsiteX0" fmla="*/ 0 w 2336470"/>
              <a:gd name="connsiteY0" fmla="*/ 1089328 h 1089328"/>
              <a:gd name="connsiteX1" fmla="*/ 1200544 w 2336470"/>
              <a:gd name="connsiteY1" fmla="*/ 178131 h 1089328"/>
              <a:gd name="connsiteX2" fmla="*/ 2336470 w 2336470"/>
              <a:gd name="connsiteY2" fmla="*/ 0 h 1089328"/>
              <a:gd name="connsiteX3" fmla="*/ 1373433 w 2336470"/>
              <a:gd name="connsiteY3" fmla="*/ 804321 h 1089328"/>
              <a:gd name="connsiteX4" fmla="*/ 0 w 2336470"/>
              <a:gd name="connsiteY4" fmla="*/ 1089328 h 1089328"/>
              <a:gd name="connsiteX0" fmla="*/ 0 w 2336470"/>
              <a:gd name="connsiteY0" fmla="*/ 1089328 h 1089328"/>
              <a:gd name="connsiteX1" fmla="*/ 1200544 w 2336470"/>
              <a:gd name="connsiteY1" fmla="*/ 178131 h 1089328"/>
              <a:gd name="connsiteX2" fmla="*/ 2336470 w 2336470"/>
              <a:gd name="connsiteY2" fmla="*/ 0 h 1089328"/>
              <a:gd name="connsiteX3" fmla="*/ 1230929 w 2336470"/>
              <a:gd name="connsiteY3" fmla="*/ 875573 h 1089328"/>
              <a:gd name="connsiteX4" fmla="*/ 0 w 2336470"/>
              <a:gd name="connsiteY4" fmla="*/ 1089328 h 1089328"/>
              <a:gd name="connsiteX0" fmla="*/ 0 w 2300844"/>
              <a:gd name="connsiteY0" fmla="*/ 1148704 h 1148704"/>
              <a:gd name="connsiteX1" fmla="*/ 1164918 w 2300844"/>
              <a:gd name="connsiteY1" fmla="*/ 178131 h 1148704"/>
              <a:gd name="connsiteX2" fmla="*/ 2300844 w 2300844"/>
              <a:gd name="connsiteY2" fmla="*/ 0 h 1148704"/>
              <a:gd name="connsiteX3" fmla="*/ 1195303 w 2300844"/>
              <a:gd name="connsiteY3" fmla="*/ 875573 h 1148704"/>
              <a:gd name="connsiteX4" fmla="*/ 0 w 2300844"/>
              <a:gd name="connsiteY4" fmla="*/ 1148704 h 1148704"/>
              <a:gd name="connsiteX0" fmla="*/ 0 w 2300844"/>
              <a:gd name="connsiteY0" fmla="*/ 1148704 h 1148704"/>
              <a:gd name="connsiteX1" fmla="*/ 1164918 w 2300844"/>
              <a:gd name="connsiteY1" fmla="*/ 178131 h 1148704"/>
              <a:gd name="connsiteX2" fmla="*/ 2300844 w 2300844"/>
              <a:gd name="connsiteY2" fmla="*/ 0 h 1148704"/>
              <a:gd name="connsiteX3" fmla="*/ 1278430 w 2300844"/>
              <a:gd name="connsiteY3" fmla="*/ 863698 h 1148704"/>
              <a:gd name="connsiteX4" fmla="*/ 0 w 2300844"/>
              <a:gd name="connsiteY4" fmla="*/ 1148704 h 1148704"/>
              <a:gd name="connsiteX0" fmla="*/ 0 w 2300844"/>
              <a:gd name="connsiteY0" fmla="*/ 1148704 h 1148704"/>
              <a:gd name="connsiteX1" fmla="*/ 1164918 w 2300844"/>
              <a:gd name="connsiteY1" fmla="*/ 178131 h 1148704"/>
              <a:gd name="connsiteX2" fmla="*/ 2300844 w 2300844"/>
              <a:gd name="connsiteY2" fmla="*/ 0 h 1148704"/>
              <a:gd name="connsiteX3" fmla="*/ 1373433 w 2300844"/>
              <a:gd name="connsiteY3" fmla="*/ 899324 h 1148704"/>
              <a:gd name="connsiteX4" fmla="*/ 0 w 2300844"/>
              <a:gd name="connsiteY4" fmla="*/ 1148704 h 1148704"/>
              <a:gd name="connsiteX0" fmla="*/ 0 w 2300844"/>
              <a:gd name="connsiteY0" fmla="*/ 1148704 h 1148704"/>
              <a:gd name="connsiteX1" fmla="*/ 1164918 w 2300844"/>
              <a:gd name="connsiteY1" fmla="*/ 178131 h 1148704"/>
              <a:gd name="connsiteX2" fmla="*/ 2300844 w 2300844"/>
              <a:gd name="connsiteY2" fmla="*/ 0 h 1148704"/>
              <a:gd name="connsiteX3" fmla="*/ 1385308 w 2300844"/>
              <a:gd name="connsiteY3" fmla="*/ 863698 h 1148704"/>
              <a:gd name="connsiteX4" fmla="*/ 0 w 2300844"/>
              <a:gd name="connsiteY4" fmla="*/ 1148704 h 1148704"/>
              <a:gd name="connsiteX0" fmla="*/ 0 w 2360220"/>
              <a:gd name="connsiteY0" fmla="*/ 1148704 h 1148704"/>
              <a:gd name="connsiteX1" fmla="*/ 1164918 w 2360220"/>
              <a:gd name="connsiteY1" fmla="*/ 178131 h 1148704"/>
              <a:gd name="connsiteX2" fmla="*/ 2360220 w 2360220"/>
              <a:gd name="connsiteY2" fmla="*/ 0 h 1148704"/>
              <a:gd name="connsiteX3" fmla="*/ 1385308 w 2360220"/>
              <a:gd name="connsiteY3" fmla="*/ 863698 h 1148704"/>
              <a:gd name="connsiteX4" fmla="*/ 0 w 2360220"/>
              <a:gd name="connsiteY4" fmla="*/ 1148704 h 1148704"/>
              <a:gd name="connsiteX0" fmla="*/ 0 w 2241467"/>
              <a:gd name="connsiteY0" fmla="*/ 1041826 h 1041826"/>
              <a:gd name="connsiteX1" fmla="*/ 1046165 w 2241467"/>
              <a:gd name="connsiteY1" fmla="*/ 178131 h 1041826"/>
              <a:gd name="connsiteX2" fmla="*/ 2241467 w 2241467"/>
              <a:gd name="connsiteY2" fmla="*/ 0 h 1041826"/>
              <a:gd name="connsiteX3" fmla="*/ 1266555 w 2241467"/>
              <a:gd name="connsiteY3" fmla="*/ 863698 h 1041826"/>
              <a:gd name="connsiteX4" fmla="*/ 0 w 2241467"/>
              <a:gd name="connsiteY4" fmla="*/ 1041826 h 1041826"/>
              <a:gd name="connsiteX0" fmla="*/ 0 w 2253342"/>
              <a:gd name="connsiteY0" fmla="*/ 1124953 h 1124953"/>
              <a:gd name="connsiteX1" fmla="*/ 1058040 w 2253342"/>
              <a:gd name="connsiteY1" fmla="*/ 178131 h 1124953"/>
              <a:gd name="connsiteX2" fmla="*/ 2253342 w 2253342"/>
              <a:gd name="connsiteY2" fmla="*/ 0 h 1124953"/>
              <a:gd name="connsiteX3" fmla="*/ 1278430 w 2253342"/>
              <a:gd name="connsiteY3" fmla="*/ 863698 h 1124953"/>
              <a:gd name="connsiteX4" fmla="*/ 0 w 2253342"/>
              <a:gd name="connsiteY4" fmla="*/ 1124953 h 1124953"/>
              <a:gd name="connsiteX0" fmla="*/ 0 w 2253342"/>
              <a:gd name="connsiteY0" fmla="*/ 1124953 h 1124953"/>
              <a:gd name="connsiteX1" fmla="*/ 1058040 w 2253342"/>
              <a:gd name="connsiteY1" fmla="*/ 178131 h 1124953"/>
              <a:gd name="connsiteX2" fmla="*/ 2253342 w 2253342"/>
              <a:gd name="connsiteY2" fmla="*/ 0 h 1124953"/>
              <a:gd name="connsiteX3" fmla="*/ 1242804 w 2253342"/>
              <a:gd name="connsiteY3" fmla="*/ 804321 h 1124953"/>
              <a:gd name="connsiteX4" fmla="*/ 0 w 2253342"/>
              <a:gd name="connsiteY4" fmla="*/ 1124953 h 1124953"/>
              <a:gd name="connsiteX0" fmla="*/ 0 w 2098963"/>
              <a:gd name="connsiteY0" fmla="*/ 1231831 h 1231831"/>
              <a:gd name="connsiteX1" fmla="*/ 1058040 w 2098963"/>
              <a:gd name="connsiteY1" fmla="*/ 285009 h 1231831"/>
              <a:gd name="connsiteX2" fmla="*/ 2098963 w 2098963"/>
              <a:gd name="connsiteY2" fmla="*/ 0 h 1231831"/>
              <a:gd name="connsiteX3" fmla="*/ 1242804 w 2098963"/>
              <a:gd name="connsiteY3" fmla="*/ 911199 h 1231831"/>
              <a:gd name="connsiteX4" fmla="*/ 0 w 2098963"/>
              <a:gd name="connsiteY4" fmla="*/ 1231831 h 1231831"/>
              <a:gd name="connsiteX0" fmla="*/ 0 w 2134589"/>
              <a:gd name="connsiteY0" fmla="*/ 1184329 h 1184329"/>
              <a:gd name="connsiteX1" fmla="*/ 1058040 w 2134589"/>
              <a:gd name="connsiteY1" fmla="*/ 237507 h 1184329"/>
              <a:gd name="connsiteX2" fmla="*/ 2134589 w 2134589"/>
              <a:gd name="connsiteY2" fmla="*/ 0 h 1184329"/>
              <a:gd name="connsiteX3" fmla="*/ 1242804 w 2134589"/>
              <a:gd name="connsiteY3" fmla="*/ 863697 h 1184329"/>
              <a:gd name="connsiteX4" fmla="*/ 0 w 2134589"/>
              <a:gd name="connsiteY4" fmla="*/ 1184329 h 1184329"/>
              <a:gd name="connsiteX0" fmla="*/ 0 w 2134589"/>
              <a:gd name="connsiteY0" fmla="*/ 1184329 h 1184329"/>
              <a:gd name="connsiteX1" fmla="*/ 1188668 w 2134589"/>
              <a:gd name="connsiteY1" fmla="*/ 273133 h 1184329"/>
              <a:gd name="connsiteX2" fmla="*/ 2134589 w 2134589"/>
              <a:gd name="connsiteY2" fmla="*/ 0 h 1184329"/>
              <a:gd name="connsiteX3" fmla="*/ 1242804 w 2134589"/>
              <a:gd name="connsiteY3" fmla="*/ 863697 h 1184329"/>
              <a:gd name="connsiteX4" fmla="*/ 0 w 2134589"/>
              <a:gd name="connsiteY4" fmla="*/ 1184329 h 1184329"/>
              <a:gd name="connsiteX0" fmla="*/ 0 w 2253343"/>
              <a:gd name="connsiteY0" fmla="*/ 1136828 h 1136828"/>
              <a:gd name="connsiteX1" fmla="*/ 1188668 w 2253343"/>
              <a:gd name="connsiteY1" fmla="*/ 225632 h 1136828"/>
              <a:gd name="connsiteX2" fmla="*/ 2253343 w 2253343"/>
              <a:gd name="connsiteY2" fmla="*/ 0 h 1136828"/>
              <a:gd name="connsiteX3" fmla="*/ 1242804 w 2253343"/>
              <a:gd name="connsiteY3" fmla="*/ 816196 h 1136828"/>
              <a:gd name="connsiteX4" fmla="*/ 0 w 2253343"/>
              <a:gd name="connsiteY4" fmla="*/ 1136828 h 1136828"/>
              <a:gd name="connsiteX0" fmla="*/ 0 w 2312719"/>
              <a:gd name="connsiteY0" fmla="*/ 1089326 h 1089326"/>
              <a:gd name="connsiteX1" fmla="*/ 1248044 w 2312719"/>
              <a:gd name="connsiteY1" fmla="*/ 225632 h 1089326"/>
              <a:gd name="connsiteX2" fmla="*/ 2312719 w 2312719"/>
              <a:gd name="connsiteY2" fmla="*/ 0 h 1089326"/>
              <a:gd name="connsiteX3" fmla="*/ 1302180 w 2312719"/>
              <a:gd name="connsiteY3" fmla="*/ 816196 h 1089326"/>
              <a:gd name="connsiteX4" fmla="*/ 0 w 2312719"/>
              <a:gd name="connsiteY4" fmla="*/ 1089326 h 1089326"/>
              <a:gd name="connsiteX0" fmla="*/ 0 w 2336470"/>
              <a:gd name="connsiteY0" fmla="*/ 1089326 h 1089326"/>
              <a:gd name="connsiteX1" fmla="*/ 1271795 w 2336470"/>
              <a:gd name="connsiteY1" fmla="*/ 225632 h 1089326"/>
              <a:gd name="connsiteX2" fmla="*/ 2336470 w 2336470"/>
              <a:gd name="connsiteY2" fmla="*/ 0 h 1089326"/>
              <a:gd name="connsiteX3" fmla="*/ 1325931 w 2336470"/>
              <a:gd name="connsiteY3" fmla="*/ 816196 h 1089326"/>
              <a:gd name="connsiteX4" fmla="*/ 0 w 2336470"/>
              <a:gd name="connsiteY4" fmla="*/ 1089326 h 1089326"/>
              <a:gd name="connsiteX0" fmla="*/ 0 w 2336470"/>
              <a:gd name="connsiteY0" fmla="*/ 1089326 h 1089326"/>
              <a:gd name="connsiteX1" fmla="*/ 1271795 w 2336470"/>
              <a:gd name="connsiteY1" fmla="*/ 225632 h 1089326"/>
              <a:gd name="connsiteX2" fmla="*/ 2336470 w 2336470"/>
              <a:gd name="connsiteY2" fmla="*/ 0 h 1089326"/>
              <a:gd name="connsiteX3" fmla="*/ 1159677 w 2336470"/>
              <a:gd name="connsiteY3" fmla="*/ 839947 h 1089326"/>
              <a:gd name="connsiteX4" fmla="*/ 0 w 2336470"/>
              <a:gd name="connsiteY4" fmla="*/ 1089326 h 1089326"/>
              <a:gd name="connsiteX0" fmla="*/ 0 w 2550226"/>
              <a:gd name="connsiteY0" fmla="*/ 1089326 h 1089326"/>
              <a:gd name="connsiteX1" fmla="*/ 1271795 w 2550226"/>
              <a:gd name="connsiteY1" fmla="*/ 225632 h 1089326"/>
              <a:gd name="connsiteX2" fmla="*/ 2550226 w 2550226"/>
              <a:gd name="connsiteY2" fmla="*/ 0 h 1089326"/>
              <a:gd name="connsiteX3" fmla="*/ 1159677 w 2550226"/>
              <a:gd name="connsiteY3" fmla="*/ 839947 h 1089326"/>
              <a:gd name="connsiteX4" fmla="*/ 0 w 2550226"/>
              <a:gd name="connsiteY4" fmla="*/ 1089326 h 10893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550226" h="1089326">
                <a:moveTo>
                  <a:pt x="0" y="1089326"/>
                </a:moveTo>
                <a:lnTo>
                  <a:pt x="1271795" y="225632"/>
                </a:lnTo>
                <a:lnTo>
                  <a:pt x="2550226" y="0"/>
                </a:lnTo>
                <a:lnTo>
                  <a:pt x="1159677" y="839947"/>
                </a:lnTo>
                <a:lnTo>
                  <a:pt x="0" y="1089326"/>
                </a:lnTo>
                <a:close/>
              </a:path>
            </a:pathLst>
          </a:custGeom>
          <a:solidFill>
            <a:schemeClr val="accent1">
              <a:alpha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351"/>
          </a:p>
        </xdr:txBody>
      </xdr:sp>
      <xdr:pic>
        <xdr:nvPicPr>
          <xdr:cNvPr id="36" name="Picture 35">
            <a:extLst>
              <a:ext uri="{FF2B5EF4-FFF2-40B4-BE49-F238E27FC236}">
                <a16:creationId xmlns:a16="http://schemas.microsoft.com/office/drawing/2014/main" id="{00000000-0008-0000-0300-00002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rcRect l="-1635" t="57895" r="70252" b="7163"/>
          <a:stretch/>
        </xdr:blipFill>
        <xdr:spPr>
          <a:xfrm>
            <a:off x="7774258" y="2004626"/>
            <a:ext cx="1168817" cy="1268107"/>
          </a:xfrm>
          <a:prstGeom prst="rect">
            <a:avLst/>
          </a:prstGeom>
        </xdr:spPr>
      </xdr:pic>
    </xdr:grpSp>
    <xdr:clientData/>
  </xdr:twoCellAnchor>
  <xdr:twoCellAnchor>
    <xdr:from>
      <xdr:col>13</xdr:col>
      <xdr:colOff>209550</xdr:colOff>
      <xdr:row>34</xdr:row>
      <xdr:rowOff>95250</xdr:rowOff>
    </xdr:from>
    <xdr:to>
      <xdr:col>21</xdr:col>
      <xdr:colOff>323850</xdr:colOff>
      <xdr:row>50</xdr:row>
      <xdr:rowOff>19050</xdr:rowOff>
    </xdr:to>
    <xdr:grpSp>
      <xdr:nvGrpSpPr>
        <xdr:cNvPr id="66" name="Group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GrpSpPr/>
      </xdr:nvGrpSpPr>
      <xdr:grpSpPr>
        <a:xfrm>
          <a:off x="11112874" y="7558368"/>
          <a:ext cx="6255123" cy="2971800"/>
          <a:chOff x="1676400" y="1905000"/>
          <a:chExt cx="5943600" cy="2971800"/>
        </a:xfrm>
      </xdr:grpSpPr>
      <xdr:sp macro="" textlink="">
        <xdr:nvSpPr>
          <xdr:cNvPr id="67" name="Flowchart: Alternate Process 66">
            <a:extLst>
              <a:ext uri="{FF2B5EF4-FFF2-40B4-BE49-F238E27FC236}">
                <a16:creationId xmlns:a16="http://schemas.microsoft.com/office/drawing/2014/main" id="{00000000-0008-0000-0300-000043000000}"/>
              </a:ext>
            </a:extLst>
          </xdr:cNvPr>
          <xdr:cNvSpPr/>
        </xdr:nvSpPr>
        <xdr:spPr>
          <a:xfrm>
            <a:off x="1676400" y="1905000"/>
            <a:ext cx="5943600" cy="2971800"/>
          </a:xfrm>
          <a:prstGeom prst="flowChartAlternateProcess">
            <a:avLst/>
          </a:prstGeom>
          <a:solidFill>
            <a:schemeClr val="bg1">
              <a:lumMod val="6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pic>
        <xdr:nvPicPr>
          <xdr:cNvPr id="68" name="Picture 67">
            <a:extLst>
              <a:ext uri="{FF2B5EF4-FFF2-40B4-BE49-F238E27FC236}">
                <a16:creationId xmlns:a16="http://schemas.microsoft.com/office/drawing/2014/main" id="{00000000-0008-0000-0300-00004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290762" y="2314575"/>
            <a:ext cx="4562475" cy="2228850"/>
          </a:xfrm>
          <a:prstGeom prst="rect">
            <a:avLst/>
          </a:prstGeom>
        </xdr:spPr>
      </xdr:pic>
      <xdr:sp macro="" textlink="">
        <xdr:nvSpPr>
          <xdr:cNvPr id="69" name="Rectangle 68">
            <a:extLst>
              <a:ext uri="{FF2B5EF4-FFF2-40B4-BE49-F238E27FC236}">
                <a16:creationId xmlns:a16="http://schemas.microsoft.com/office/drawing/2014/main" id="{00000000-0008-0000-0300-000045000000}"/>
              </a:ext>
            </a:extLst>
          </xdr:cNvPr>
          <xdr:cNvSpPr/>
        </xdr:nvSpPr>
        <xdr:spPr>
          <a:xfrm>
            <a:off x="2197345" y="2278380"/>
            <a:ext cx="187715" cy="2438400"/>
          </a:xfrm>
          <a:prstGeom prst="rect">
            <a:avLst/>
          </a:prstGeom>
          <a:solidFill>
            <a:schemeClr val="bg1">
              <a:lumMod val="6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70" name="Rectangle 69">
            <a:extLst>
              <a:ext uri="{FF2B5EF4-FFF2-40B4-BE49-F238E27FC236}">
                <a16:creationId xmlns:a16="http://schemas.microsoft.com/office/drawing/2014/main" id="{00000000-0008-0000-0300-000046000000}"/>
              </a:ext>
            </a:extLst>
          </xdr:cNvPr>
          <xdr:cNvSpPr/>
        </xdr:nvSpPr>
        <xdr:spPr>
          <a:xfrm>
            <a:off x="6797920" y="2118410"/>
            <a:ext cx="76200" cy="2438400"/>
          </a:xfrm>
          <a:prstGeom prst="rect">
            <a:avLst/>
          </a:prstGeom>
          <a:solidFill>
            <a:schemeClr val="bg1">
              <a:lumMod val="6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71" name="Rectangle 70">
            <a:extLst>
              <a:ext uri="{FF2B5EF4-FFF2-40B4-BE49-F238E27FC236}">
                <a16:creationId xmlns:a16="http://schemas.microsoft.com/office/drawing/2014/main" id="{00000000-0008-0000-0300-000047000000}"/>
              </a:ext>
            </a:extLst>
          </xdr:cNvPr>
          <xdr:cNvSpPr/>
        </xdr:nvSpPr>
        <xdr:spPr>
          <a:xfrm>
            <a:off x="2286000" y="2293620"/>
            <a:ext cx="4655820" cy="91440"/>
          </a:xfrm>
          <a:prstGeom prst="rect">
            <a:avLst/>
          </a:prstGeom>
          <a:solidFill>
            <a:schemeClr val="bg1">
              <a:lumMod val="6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109" name="Rectangle 108">
            <a:extLst>
              <a:ext uri="{FF2B5EF4-FFF2-40B4-BE49-F238E27FC236}">
                <a16:creationId xmlns:a16="http://schemas.microsoft.com/office/drawing/2014/main" id="{00000000-0008-0000-0300-00006D000000}"/>
              </a:ext>
            </a:extLst>
          </xdr:cNvPr>
          <xdr:cNvSpPr/>
        </xdr:nvSpPr>
        <xdr:spPr>
          <a:xfrm>
            <a:off x="2254328" y="4479658"/>
            <a:ext cx="4655820" cy="91440"/>
          </a:xfrm>
          <a:prstGeom prst="rect">
            <a:avLst/>
          </a:prstGeom>
          <a:solidFill>
            <a:schemeClr val="bg1">
              <a:lumMod val="6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grpSp>
        <xdr:nvGrpSpPr>
          <xdr:cNvPr id="110" name="Group 109">
            <a:extLst>
              <a:ext uri="{FF2B5EF4-FFF2-40B4-BE49-F238E27FC236}">
                <a16:creationId xmlns:a16="http://schemas.microsoft.com/office/drawing/2014/main" id="{00000000-0008-0000-0300-00006E000000}"/>
              </a:ext>
            </a:extLst>
          </xdr:cNvPr>
          <xdr:cNvGrpSpPr/>
        </xdr:nvGrpSpPr>
        <xdr:grpSpPr>
          <a:xfrm>
            <a:off x="2536996" y="2254670"/>
            <a:ext cx="2142359" cy="2093440"/>
            <a:chOff x="2562225" y="2598419"/>
            <a:chExt cx="1793556" cy="1752602"/>
          </a:xfrm>
        </xdr:grpSpPr>
        <xdr:grpSp>
          <xdr:nvGrpSpPr>
            <xdr:cNvPr id="128" name="Group 127">
              <a:extLst>
                <a:ext uri="{FF2B5EF4-FFF2-40B4-BE49-F238E27FC236}">
                  <a16:creationId xmlns:a16="http://schemas.microsoft.com/office/drawing/2014/main" id="{00000000-0008-0000-0300-000080000000}"/>
                </a:ext>
              </a:extLst>
            </xdr:cNvPr>
            <xdr:cNvGrpSpPr/>
          </xdr:nvGrpSpPr>
          <xdr:grpSpPr>
            <a:xfrm>
              <a:off x="2562226" y="2598419"/>
              <a:ext cx="1793555" cy="1752602"/>
              <a:chOff x="2562226" y="2598419"/>
              <a:chExt cx="1793555" cy="1752602"/>
            </a:xfrm>
          </xdr:grpSpPr>
          <xdr:grpSp>
            <xdr:nvGrpSpPr>
              <xdr:cNvPr id="131" name="Group 130">
                <a:extLst>
                  <a:ext uri="{FF2B5EF4-FFF2-40B4-BE49-F238E27FC236}">
                    <a16:creationId xmlns:a16="http://schemas.microsoft.com/office/drawing/2014/main" id="{00000000-0008-0000-0300-000083000000}"/>
                  </a:ext>
                </a:extLst>
              </xdr:cNvPr>
              <xdr:cNvGrpSpPr/>
            </xdr:nvGrpSpPr>
            <xdr:grpSpPr>
              <a:xfrm rot="10800000">
                <a:off x="2562226" y="2598419"/>
                <a:ext cx="1689733" cy="1752602"/>
                <a:chOff x="2590798" y="3124199"/>
                <a:chExt cx="4091725" cy="2819401"/>
              </a:xfrm>
            </xdr:grpSpPr>
            <xdr:cxnSp macro="">
              <xdr:nvCxnSpPr>
                <xdr:cNvPr id="136" name="Straight Connector 135">
                  <a:extLst>
                    <a:ext uri="{FF2B5EF4-FFF2-40B4-BE49-F238E27FC236}">
                      <a16:creationId xmlns:a16="http://schemas.microsoft.com/office/drawing/2014/main" id="{00000000-0008-0000-0300-000088000000}"/>
                    </a:ext>
                  </a:extLst>
                </xdr:cNvPr>
                <xdr:cNvCxnSpPr/>
              </xdr:nvCxnSpPr>
              <xdr:spPr>
                <a:xfrm rot="10800000" flipH="1" flipV="1">
                  <a:off x="3047999" y="3124199"/>
                  <a:ext cx="2971800" cy="381000"/>
                </a:xfrm>
                <a:prstGeom prst="line">
                  <a:avLst/>
                </a:prstGeom>
                <a:ln>
                  <a:solidFill>
                    <a:schemeClr val="bg1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37" name="Straight Connector 136">
                  <a:extLst>
                    <a:ext uri="{FF2B5EF4-FFF2-40B4-BE49-F238E27FC236}">
                      <a16:creationId xmlns:a16="http://schemas.microsoft.com/office/drawing/2014/main" id="{00000000-0008-0000-0300-000089000000}"/>
                    </a:ext>
                  </a:extLst>
                </xdr:cNvPr>
                <xdr:cNvCxnSpPr/>
              </xdr:nvCxnSpPr>
              <xdr:spPr>
                <a:xfrm rot="10800000" flipH="1" flipV="1">
                  <a:off x="6019797" y="3505196"/>
                  <a:ext cx="656960" cy="1826253"/>
                </a:xfrm>
                <a:prstGeom prst="line">
                  <a:avLst/>
                </a:prstGeom>
                <a:ln>
                  <a:solidFill>
                    <a:schemeClr val="bg1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38" name="Straight Connector 137">
                  <a:extLst>
                    <a:ext uri="{FF2B5EF4-FFF2-40B4-BE49-F238E27FC236}">
                      <a16:creationId xmlns:a16="http://schemas.microsoft.com/office/drawing/2014/main" id="{00000000-0008-0000-0300-00008A000000}"/>
                    </a:ext>
                  </a:extLst>
                </xdr:cNvPr>
                <xdr:cNvCxnSpPr/>
              </xdr:nvCxnSpPr>
              <xdr:spPr>
                <a:xfrm rot="10800000" flipV="1">
                  <a:off x="2590800" y="5323789"/>
                  <a:ext cx="4091723" cy="619809"/>
                </a:xfrm>
                <a:prstGeom prst="line">
                  <a:avLst/>
                </a:prstGeom>
                <a:ln>
                  <a:solidFill>
                    <a:schemeClr val="bg1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39" name="Straight Connector 138">
                  <a:extLst>
                    <a:ext uri="{FF2B5EF4-FFF2-40B4-BE49-F238E27FC236}">
                      <a16:creationId xmlns:a16="http://schemas.microsoft.com/office/drawing/2014/main" id="{00000000-0008-0000-0300-00008B000000}"/>
                    </a:ext>
                  </a:extLst>
                </xdr:cNvPr>
                <xdr:cNvCxnSpPr/>
              </xdr:nvCxnSpPr>
              <xdr:spPr>
                <a:xfrm rot="10800000" flipH="1">
                  <a:off x="2590798" y="3124200"/>
                  <a:ext cx="457199" cy="2819400"/>
                </a:xfrm>
                <a:prstGeom prst="line">
                  <a:avLst/>
                </a:prstGeom>
                <a:ln>
                  <a:solidFill>
                    <a:schemeClr val="bg1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132" name="Rectangle 131">
                <a:extLst>
                  <a:ext uri="{FF2B5EF4-FFF2-40B4-BE49-F238E27FC236}">
                    <a16:creationId xmlns:a16="http://schemas.microsoft.com/office/drawing/2014/main" id="{00000000-0008-0000-0300-000084000000}"/>
                  </a:ext>
                </a:extLst>
              </xdr:cNvPr>
              <xdr:cNvSpPr/>
            </xdr:nvSpPr>
            <xdr:spPr>
              <a:xfrm rot="4634191">
                <a:off x="2861243" y="2614970"/>
                <a:ext cx="981834" cy="1384746"/>
              </a:xfrm>
              <a:prstGeom prst="rect">
                <a:avLst/>
              </a:prstGeom>
              <a:solidFill>
                <a:schemeClr val="bg1">
                  <a:alpha val="27059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sp macro="" textlink="">
            <xdr:nvSpPr>
              <xdr:cNvPr id="133" name="Isosceles Triangle 132">
                <a:extLst>
                  <a:ext uri="{FF2B5EF4-FFF2-40B4-BE49-F238E27FC236}">
                    <a16:creationId xmlns:a16="http://schemas.microsoft.com/office/drawing/2014/main" id="{00000000-0008-0000-0300-000085000000}"/>
                  </a:ext>
                </a:extLst>
              </xdr:cNvPr>
              <xdr:cNvSpPr/>
            </xdr:nvSpPr>
            <xdr:spPr>
              <a:xfrm rot="10106290">
                <a:off x="4014281" y="2629960"/>
                <a:ext cx="341500" cy="988535"/>
              </a:xfrm>
              <a:prstGeom prst="triangle">
                <a:avLst>
                  <a:gd name="adj" fmla="val 94287"/>
                </a:avLst>
              </a:prstGeom>
              <a:solidFill>
                <a:schemeClr val="bg1">
                  <a:alpha val="27059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sp macro="" textlink="">
            <xdr:nvSpPr>
              <xdr:cNvPr id="134" name="Isosceles Triangle 133">
                <a:extLst>
                  <a:ext uri="{FF2B5EF4-FFF2-40B4-BE49-F238E27FC236}">
                    <a16:creationId xmlns:a16="http://schemas.microsoft.com/office/drawing/2014/main" id="{00000000-0008-0000-0300-000086000000}"/>
                  </a:ext>
                </a:extLst>
              </xdr:cNvPr>
              <xdr:cNvSpPr/>
            </xdr:nvSpPr>
            <xdr:spPr>
              <a:xfrm rot="16608172">
                <a:off x="3123051" y="3290692"/>
                <a:ext cx="717795" cy="1247153"/>
              </a:xfrm>
              <a:prstGeom prst="triangle">
                <a:avLst>
                  <a:gd name="adj" fmla="val 11150"/>
                </a:avLst>
              </a:prstGeom>
              <a:solidFill>
                <a:schemeClr val="bg1">
                  <a:alpha val="27059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sp macro="" textlink="">
            <xdr:nvSpPr>
              <xdr:cNvPr id="135" name="Isosceles Triangle 134">
                <a:extLst>
                  <a:ext uri="{FF2B5EF4-FFF2-40B4-BE49-F238E27FC236}">
                    <a16:creationId xmlns:a16="http://schemas.microsoft.com/office/drawing/2014/main" id="{00000000-0008-0000-0300-000087000000}"/>
                  </a:ext>
                </a:extLst>
              </xdr:cNvPr>
              <xdr:cNvSpPr/>
            </xdr:nvSpPr>
            <xdr:spPr>
              <a:xfrm rot="4345476">
                <a:off x="3386313" y="3124511"/>
                <a:ext cx="183805" cy="1384022"/>
              </a:xfrm>
              <a:prstGeom prst="triangle">
                <a:avLst>
                  <a:gd name="adj" fmla="val 63429"/>
                </a:avLst>
              </a:prstGeom>
              <a:solidFill>
                <a:schemeClr val="bg1">
                  <a:alpha val="27059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</xdr:grpSp>
        <xdr:cxnSp macro="">
          <xdr:nvCxnSpPr>
            <xdr:cNvPr id="129" name="Straight Arrow Connector 128">
              <a:extLst>
                <a:ext uri="{FF2B5EF4-FFF2-40B4-BE49-F238E27FC236}">
                  <a16:creationId xmlns:a16="http://schemas.microsoft.com/office/drawing/2014/main" id="{00000000-0008-0000-0300-000081000000}"/>
                </a:ext>
              </a:extLst>
            </xdr:cNvPr>
            <xdr:cNvCxnSpPr>
              <a:stCxn id="135" idx="4"/>
              <a:endCxn id="133" idx="2"/>
            </xdr:cNvCxnSpPr>
          </xdr:nvCxnSpPr>
          <xdr:spPr>
            <a:xfrm flipV="1">
              <a:off x="2846258" y="2605767"/>
              <a:ext cx="1406994" cy="1507328"/>
            </a:xfrm>
            <a:prstGeom prst="straightConnector1">
              <a:avLst/>
            </a:prstGeom>
            <a:ln>
              <a:solidFill>
                <a:schemeClr val="bg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0" name="Straight Arrow Connector 129">
              <a:extLst>
                <a:ext uri="{FF2B5EF4-FFF2-40B4-BE49-F238E27FC236}">
                  <a16:creationId xmlns:a16="http://schemas.microsoft.com/office/drawing/2014/main" id="{00000000-0008-0000-0300-000082000000}"/>
                </a:ext>
              </a:extLst>
            </xdr:cNvPr>
            <xdr:cNvCxnSpPr>
              <a:endCxn id="134" idx="2"/>
            </xdr:cNvCxnSpPr>
          </xdr:nvCxnSpPr>
          <xdr:spPr>
            <a:xfrm>
              <a:off x="2562225" y="2978945"/>
              <a:ext cx="1496397" cy="1365559"/>
            </a:xfrm>
            <a:prstGeom prst="straightConnector1">
              <a:avLst/>
            </a:prstGeom>
            <a:ln>
              <a:solidFill>
                <a:schemeClr val="bg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11" name="Group 110">
            <a:extLst>
              <a:ext uri="{FF2B5EF4-FFF2-40B4-BE49-F238E27FC236}">
                <a16:creationId xmlns:a16="http://schemas.microsoft.com/office/drawing/2014/main" id="{00000000-0008-0000-0300-00006F000000}"/>
              </a:ext>
            </a:extLst>
          </xdr:cNvPr>
          <xdr:cNvGrpSpPr/>
        </xdr:nvGrpSpPr>
        <xdr:grpSpPr>
          <a:xfrm>
            <a:off x="5154587" y="2076453"/>
            <a:ext cx="2459063" cy="2428873"/>
            <a:chOff x="2562225" y="2598420"/>
            <a:chExt cx="1793556" cy="1752601"/>
          </a:xfrm>
        </xdr:grpSpPr>
        <xdr:grpSp>
          <xdr:nvGrpSpPr>
            <xdr:cNvPr id="116" name="Group 115">
              <a:extLst>
                <a:ext uri="{FF2B5EF4-FFF2-40B4-BE49-F238E27FC236}">
                  <a16:creationId xmlns:a16="http://schemas.microsoft.com/office/drawing/2014/main" id="{00000000-0008-0000-0300-000074000000}"/>
                </a:ext>
              </a:extLst>
            </xdr:cNvPr>
            <xdr:cNvGrpSpPr/>
          </xdr:nvGrpSpPr>
          <xdr:grpSpPr>
            <a:xfrm>
              <a:off x="2562226" y="2598420"/>
              <a:ext cx="1793555" cy="1752601"/>
              <a:chOff x="2562226" y="2598420"/>
              <a:chExt cx="1793555" cy="1752601"/>
            </a:xfrm>
          </xdr:grpSpPr>
          <xdr:grpSp>
            <xdr:nvGrpSpPr>
              <xdr:cNvPr id="119" name="Group 118">
                <a:extLst>
                  <a:ext uri="{FF2B5EF4-FFF2-40B4-BE49-F238E27FC236}">
                    <a16:creationId xmlns:a16="http://schemas.microsoft.com/office/drawing/2014/main" id="{00000000-0008-0000-0300-000077000000}"/>
                  </a:ext>
                </a:extLst>
              </xdr:cNvPr>
              <xdr:cNvGrpSpPr/>
            </xdr:nvGrpSpPr>
            <xdr:grpSpPr>
              <a:xfrm rot="10800000">
                <a:off x="2562226" y="2598420"/>
                <a:ext cx="1689733" cy="1752601"/>
                <a:chOff x="2590798" y="3124200"/>
                <a:chExt cx="4091725" cy="2819400"/>
              </a:xfrm>
            </xdr:grpSpPr>
            <xdr:cxnSp macro="">
              <xdr:nvCxnSpPr>
                <xdr:cNvPr id="124" name="Straight Connector 123">
                  <a:extLst>
                    <a:ext uri="{FF2B5EF4-FFF2-40B4-BE49-F238E27FC236}">
                      <a16:creationId xmlns:a16="http://schemas.microsoft.com/office/drawing/2014/main" id="{00000000-0008-0000-0300-00007C000000}"/>
                    </a:ext>
                  </a:extLst>
                </xdr:cNvPr>
                <xdr:cNvCxnSpPr/>
              </xdr:nvCxnSpPr>
              <xdr:spPr>
                <a:xfrm rot="10800000" flipH="1" flipV="1">
                  <a:off x="3047999" y="3124200"/>
                  <a:ext cx="2971801" cy="381000"/>
                </a:xfrm>
                <a:prstGeom prst="line">
                  <a:avLst/>
                </a:prstGeom>
                <a:ln>
                  <a:solidFill>
                    <a:schemeClr val="bg1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25" name="Straight Connector 124">
                  <a:extLst>
                    <a:ext uri="{FF2B5EF4-FFF2-40B4-BE49-F238E27FC236}">
                      <a16:creationId xmlns:a16="http://schemas.microsoft.com/office/drawing/2014/main" id="{00000000-0008-0000-0300-00007D000000}"/>
                    </a:ext>
                  </a:extLst>
                </xdr:cNvPr>
                <xdr:cNvCxnSpPr/>
              </xdr:nvCxnSpPr>
              <xdr:spPr>
                <a:xfrm rot="10800000" flipH="1" flipV="1">
                  <a:off x="6019796" y="3505198"/>
                  <a:ext cx="656960" cy="1826252"/>
                </a:xfrm>
                <a:prstGeom prst="line">
                  <a:avLst/>
                </a:prstGeom>
                <a:ln>
                  <a:solidFill>
                    <a:schemeClr val="bg1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26" name="Straight Connector 125">
                  <a:extLst>
                    <a:ext uri="{FF2B5EF4-FFF2-40B4-BE49-F238E27FC236}">
                      <a16:creationId xmlns:a16="http://schemas.microsoft.com/office/drawing/2014/main" id="{00000000-0008-0000-0300-00007E000000}"/>
                    </a:ext>
                  </a:extLst>
                </xdr:cNvPr>
                <xdr:cNvCxnSpPr/>
              </xdr:nvCxnSpPr>
              <xdr:spPr>
                <a:xfrm rot="10800000" flipV="1">
                  <a:off x="2590800" y="5323788"/>
                  <a:ext cx="4091723" cy="619809"/>
                </a:xfrm>
                <a:prstGeom prst="line">
                  <a:avLst/>
                </a:prstGeom>
                <a:ln>
                  <a:solidFill>
                    <a:schemeClr val="bg1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27" name="Straight Connector 126">
                  <a:extLst>
                    <a:ext uri="{FF2B5EF4-FFF2-40B4-BE49-F238E27FC236}">
                      <a16:creationId xmlns:a16="http://schemas.microsoft.com/office/drawing/2014/main" id="{00000000-0008-0000-0300-00007F000000}"/>
                    </a:ext>
                  </a:extLst>
                </xdr:cNvPr>
                <xdr:cNvCxnSpPr/>
              </xdr:nvCxnSpPr>
              <xdr:spPr>
                <a:xfrm rot="10800000" flipH="1">
                  <a:off x="2590798" y="3124200"/>
                  <a:ext cx="457201" cy="2819400"/>
                </a:xfrm>
                <a:prstGeom prst="line">
                  <a:avLst/>
                </a:prstGeom>
                <a:ln>
                  <a:solidFill>
                    <a:schemeClr val="bg1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120" name="Rectangle 119">
                <a:extLst>
                  <a:ext uri="{FF2B5EF4-FFF2-40B4-BE49-F238E27FC236}">
                    <a16:creationId xmlns:a16="http://schemas.microsoft.com/office/drawing/2014/main" id="{00000000-0008-0000-0300-000078000000}"/>
                  </a:ext>
                </a:extLst>
              </xdr:cNvPr>
              <xdr:cNvSpPr/>
            </xdr:nvSpPr>
            <xdr:spPr>
              <a:xfrm rot="4634191">
                <a:off x="2861243" y="2614970"/>
                <a:ext cx="981834" cy="1384746"/>
              </a:xfrm>
              <a:prstGeom prst="rect">
                <a:avLst/>
              </a:prstGeom>
              <a:solidFill>
                <a:schemeClr val="bg1">
                  <a:alpha val="27059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sp macro="" textlink="">
            <xdr:nvSpPr>
              <xdr:cNvPr id="121" name="Isosceles Triangle 120">
                <a:extLst>
                  <a:ext uri="{FF2B5EF4-FFF2-40B4-BE49-F238E27FC236}">
                    <a16:creationId xmlns:a16="http://schemas.microsoft.com/office/drawing/2014/main" id="{00000000-0008-0000-0300-000079000000}"/>
                  </a:ext>
                </a:extLst>
              </xdr:cNvPr>
              <xdr:cNvSpPr/>
            </xdr:nvSpPr>
            <xdr:spPr>
              <a:xfrm rot="10106290">
                <a:off x="4014281" y="2629960"/>
                <a:ext cx="341500" cy="988535"/>
              </a:xfrm>
              <a:prstGeom prst="triangle">
                <a:avLst>
                  <a:gd name="adj" fmla="val 94287"/>
                </a:avLst>
              </a:prstGeom>
              <a:solidFill>
                <a:schemeClr val="bg1">
                  <a:alpha val="27059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sp macro="" textlink="">
            <xdr:nvSpPr>
              <xdr:cNvPr id="122" name="Isosceles Triangle 121">
                <a:extLst>
                  <a:ext uri="{FF2B5EF4-FFF2-40B4-BE49-F238E27FC236}">
                    <a16:creationId xmlns:a16="http://schemas.microsoft.com/office/drawing/2014/main" id="{00000000-0008-0000-0300-00007A000000}"/>
                  </a:ext>
                </a:extLst>
              </xdr:cNvPr>
              <xdr:cNvSpPr/>
            </xdr:nvSpPr>
            <xdr:spPr>
              <a:xfrm rot="16608172">
                <a:off x="3123051" y="3290692"/>
                <a:ext cx="717795" cy="1247153"/>
              </a:xfrm>
              <a:prstGeom prst="triangle">
                <a:avLst>
                  <a:gd name="adj" fmla="val 11150"/>
                </a:avLst>
              </a:prstGeom>
              <a:solidFill>
                <a:schemeClr val="bg1">
                  <a:alpha val="27059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  <xdr:sp macro="" textlink="">
            <xdr:nvSpPr>
              <xdr:cNvPr id="123" name="Isosceles Triangle 122">
                <a:extLst>
                  <a:ext uri="{FF2B5EF4-FFF2-40B4-BE49-F238E27FC236}">
                    <a16:creationId xmlns:a16="http://schemas.microsoft.com/office/drawing/2014/main" id="{00000000-0008-0000-0300-00007B000000}"/>
                  </a:ext>
                </a:extLst>
              </xdr:cNvPr>
              <xdr:cNvSpPr/>
            </xdr:nvSpPr>
            <xdr:spPr>
              <a:xfrm rot="4345476">
                <a:off x="3386313" y="3124511"/>
                <a:ext cx="183805" cy="1384022"/>
              </a:xfrm>
              <a:prstGeom prst="triangle">
                <a:avLst>
                  <a:gd name="adj" fmla="val 63429"/>
                </a:avLst>
              </a:prstGeom>
              <a:solidFill>
                <a:schemeClr val="bg1">
                  <a:alpha val="27059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/>
              </a:p>
            </xdr:txBody>
          </xdr:sp>
        </xdr:grpSp>
        <xdr:cxnSp macro="">
          <xdr:nvCxnSpPr>
            <xdr:cNvPr id="117" name="Straight Arrow Connector 116">
              <a:extLst>
                <a:ext uri="{FF2B5EF4-FFF2-40B4-BE49-F238E27FC236}">
                  <a16:creationId xmlns:a16="http://schemas.microsoft.com/office/drawing/2014/main" id="{00000000-0008-0000-0300-000075000000}"/>
                </a:ext>
              </a:extLst>
            </xdr:cNvPr>
            <xdr:cNvCxnSpPr/>
          </xdr:nvCxnSpPr>
          <xdr:spPr>
            <a:xfrm flipV="1">
              <a:off x="2841627" y="2601186"/>
              <a:ext cx="1406995" cy="1507328"/>
            </a:xfrm>
            <a:prstGeom prst="straightConnector1">
              <a:avLst/>
            </a:prstGeom>
            <a:ln>
              <a:solidFill>
                <a:schemeClr val="bg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8" name="Straight Arrow Connector 117">
              <a:extLst>
                <a:ext uri="{FF2B5EF4-FFF2-40B4-BE49-F238E27FC236}">
                  <a16:creationId xmlns:a16="http://schemas.microsoft.com/office/drawing/2014/main" id="{00000000-0008-0000-0300-000076000000}"/>
                </a:ext>
              </a:extLst>
            </xdr:cNvPr>
            <xdr:cNvCxnSpPr>
              <a:endCxn id="122" idx="2"/>
            </xdr:cNvCxnSpPr>
          </xdr:nvCxnSpPr>
          <xdr:spPr>
            <a:xfrm>
              <a:off x="2562225" y="2978944"/>
              <a:ext cx="1495938" cy="1364770"/>
            </a:xfrm>
            <a:prstGeom prst="straightConnector1">
              <a:avLst/>
            </a:prstGeom>
            <a:ln>
              <a:solidFill>
                <a:schemeClr val="bg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12" name="TextBox 20">
            <a:extLst>
              <a:ext uri="{FF2B5EF4-FFF2-40B4-BE49-F238E27FC236}">
                <a16:creationId xmlns:a16="http://schemas.microsoft.com/office/drawing/2014/main" id="{00000000-0008-0000-0300-000070000000}"/>
              </a:ext>
            </a:extLst>
          </xdr:cNvPr>
          <xdr:cNvSpPr txBox="1"/>
        </xdr:nvSpPr>
        <xdr:spPr>
          <a:xfrm>
            <a:off x="2651585" y="2684090"/>
            <a:ext cx="349063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900" b="1">
                <a:solidFill>
                  <a:schemeClr val="bg1"/>
                </a:solidFill>
              </a:rPr>
              <a:t>D2</a:t>
            </a:r>
          </a:p>
        </xdr:txBody>
      </xdr:sp>
      <xdr:sp macro="" textlink="">
        <xdr:nvSpPr>
          <xdr:cNvPr id="113" name="TextBox 55">
            <a:extLst>
              <a:ext uri="{FF2B5EF4-FFF2-40B4-BE49-F238E27FC236}">
                <a16:creationId xmlns:a16="http://schemas.microsoft.com/office/drawing/2014/main" id="{00000000-0008-0000-0300-000071000000}"/>
              </a:ext>
            </a:extLst>
          </xdr:cNvPr>
          <xdr:cNvSpPr txBox="1"/>
        </xdr:nvSpPr>
        <xdr:spPr>
          <a:xfrm>
            <a:off x="3934043" y="2456916"/>
            <a:ext cx="349063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900" b="1">
                <a:solidFill>
                  <a:schemeClr val="bg1"/>
                </a:solidFill>
              </a:rPr>
              <a:t>D1</a:t>
            </a:r>
          </a:p>
        </xdr:txBody>
      </xdr:sp>
      <xdr:sp macro="" textlink="">
        <xdr:nvSpPr>
          <xdr:cNvPr id="114" name="TextBox 56">
            <a:extLst>
              <a:ext uri="{FF2B5EF4-FFF2-40B4-BE49-F238E27FC236}">
                <a16:creationId xmlns:a16="http://schemas.microsoft.com/office/drawing/2014/main" id="{00000000-0008-0000-0300-000072000000}"/>
              </a:ext>
            </a:extLst>
          </xdr:cNvPr>
          <xdr:cNvSpPr txBox="1"/>
        </xdr:nvSpPr>
        <xdr:spPr>
          <a:xfrm>
            <a:off x="5299935" y="2634325"/>
            <a:ext cx="349063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900" b="1">
                <a:solidFill>
                  <a:schemeClr val="bg1"/>
                </a:solidFill>
              </a:rPr>
              <a:t>D2</a:t>
            </a:r>
          </a:p>
        </xdr:txBody>
      </xdr:sp>
      <xdr:sp macro="" textlink="">
        <xdr:nvSpPr>
          <xdr:cNvPr id="115" name="TextBox 57">
            <a:extLst>
              <a:ext uri="{FF2B5EF4-FFF2-40B4-BE49-F238E27FC236}">
                <a16:creationId xmlns:a16="http://schemas.microsoft.com/office/drawing/2014/main" id="{00000000-0008-0000-0300-000073000000}"/>
              </a:ext>
            </a:extLst>
          </xdr:cNvPr>
          <xdr:cNvSpPr txBox="1"/>
        </xdr:nvSpPr>
        <xdr:spPr>
          <a:xfrm>
            <a:off x="6926157" y="2564815"/>
            <a:ext cx="349063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900" b="1">
                <a:solidFill>
                  <a:schemeClr val="bg1"/>
                </a:solidFill>
              </a:rPr>
              <a:t>D1</a:t>
            </a:r>
          </a:p>
        </xdr:txBody>
      </xdr:sp>
    </xdr:grpSp>
    <xdr:clientData/>
  </xdr:twoCellAnchor>
  <xdr:twoCellAnchor>
    <xdr:from>
      <xdr:col>31</xdr:col>
      <xdr:colOff>542924</xdr:colOff>
      <xdr:row>34</xdr:row>
      <xdr:rowOff>152400</xdr:rowOff>
    </xdr:from>
    <xdr:to>
      <xdr:col>39</xdr:col>
      <xdr:colOff>463707</xdr:colOff>
      <xdr:row>57</xdr:row>
      <xdr:rowOff>114300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pSpPr/>
      </xdr:nvGrpSpPr>
      <xdr:grpSpPr>
        <a:xfrm>
          <a:off x="24915718" y="7615518"/>
          <a:ext cx="5187548" cy="4343400"/>
          <a:chOff x="20069174" y="6553200"/>
          <a:chExt cx="4797619" cy="4343400"/>
        </a:xfrm>
      </xdr:grpSpPr>
      <xdr:grpSp>
        <xdr:nvGrpSpPr>
          <xdr:cNvPr id="106" name="Group 105">
            <a:extLst>
              <a:ext uri="{FF2B5EF4-FFF2-40B4-BE49-F238E27FC236}">
                <a16:creationId xmlns:a16="http://schemas.microsoft.com/office/drawing/2014/main" id="{00000000-0008-0000-0300-00006A000000}"/>
              </a:ext>
            </a:extLst>
          </xdr:cNvPr>
          <xdr:cNvGrpSpPr/>
        </xdr:nvGrpSpPr>
        <xdr:grpSpPr>
          <a:xfrm>
            <a:off x="20069174" y="6553200"/>
            <a:ext cx="4797619" cy="4343400"/>
            <a:chOff x="1985642" y="1575997"/>
            <a:chExt cx="3474284" cy="3272226"/>
          </a:xfrm>
        </xdr:grpSpPr>
        <xdr:sp macro="" textlink="">
          <xdr:nvSpPr>
            <xdr:cNvPr id="140" name="Flowchart: Alternate Process 139">
              <a:extLst>
                <a:ext uri="{FF2B5EF4-FFF2-40B4-BE49-F238E27FC236}">
                  <a16:creationId xmlns:a16="http://schemas.microsoft.com/office/drawing/2014/main" id="{00000000-0008-0000-0300-00008C000000}"/>
                </a:ext>
              </a:extLst>
            </xdr:cNvPr>
            <xdr:cNvSpPr/>
          </xdr:nvSpPr>
          <xdr:spPr>
            <a:xfrm>
              <a:off x="1985642" y="1575997"/>
              <a:ext cx="3474284" cy="3272226"/>
            </a:xfrm>
            <a:prstGeom prst="flowChartAlternateProcess">
              <a:avLst/>
            </a:prstGeom>
            <a:solidFill>
              <a:schemeClr val="bg1">
                <a:lumMod val="6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GB" sz="3600"/>
            </a:p>
          </xdr:txBody>
        </xdr:sp>
        <xdr:grpSp>
          <xdr:nvGrpSpPr>
            <xdr:cNvPr id="186" name="Group 185">
              <a:extLst>
                <a:ext uri="{FF2B5EF4-FFF2-40B4-BE49-F238E27FC236}">
                  <a16:creationId xmlns:a16="http://schemas.microsoft.com/office/drawing/2014/main" id="{00000000-0008-0000-0300-0000BA000000}"/>
                </a:ext>
              </a:extLst>
            </xdr:cNvPr>
            <xdr:cNvGrpSpPr/>
          </xdr:nvGrpSpPr>
          <xdr:grpSpPr>
            <a:xfrm>
              <a:off x="2536997" y="2254670"/>
              <a:ext cx="2142358" cy="2093440"/>
              <a:chOff x="2562226" y="2598419"/>
              <a:chExt cx="1793555" cy="1752602"/>
            </a:xfrm>
          </xdr:grpSpPr>
          <xdr:grpSp>
            <xdr:nvGrpSpPr>
              <xdr:cNvPr id="217" name="Group 216">
                <a:extLst>
                  <a:ext uri="{FF2B5EF4-FFF2-40B4-BE49-F238E27FC236}">
                    <a16:creationId xmlns:a16="http://schemas.microsoft.com/office/drawing/2014/main" id="{00000000-0008-0000-0300-0000D9000000}"/>
                  </a:ext>
                </a:extLst>
              </xdr:cNvPr>
              <xdr:cNvGrpSpPr/>
            </xdr:nvGrpSpPr>
            <xdr:grpSpPr>
              <a:xfrm rot="10800000">
                <a:off x="2562226" y="2598419"/>
                <a:ext cx="1689733" cy="1752602"/>
                <a:chOff x="2590798" y="3124199"/>
                <a:chExt cx="4091725" cy="2819401"/>
              </a:xfrm>
            </xdr:grpSpPr>
            <xdr:cxnSp macro="">
              <xdr:nvCxnSpPr>
                <xdr:cNvPr id="222" name="Straight Connector 221">
                  <a:extLst>
                    <a:ext uri="{FF2B5EF4-FFF2-40B4-BE49-F238E27FC236}">
                      <a16:creationId xmlns:a16="http://schemas.microsoft.com/office/drawing/2014/main" id="{00000000-0008-0000-0300-0000DE000000}"/>
                    </a:ext>
                  </a:extLst>
                </xdr:cNvPr>
                <xdr:cNvCxnSpPr/>
              </xdr:nvCxnSpPr>
              <xdr:spPr>
                <a:xfrm rot="10800000" flipH="1" flipV="1">
                  <a:off x="3047999" y="3124199"/>
                  <a:ext cx="2971800" cy="381000"/>
                </a:xfrm>
                <a:prstGeom prst="line">
                  <a:avLst/>
                </a:prstGeom>
                <a:ln>
                  <a:solidFill>
                    <a:schemeClr val="bg1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23" name="Straight Connector 222">
                  <a:extLst>
                    <a:ext uri="{FF2B5EF4-FFF2-40B4-BE49-F238E27FC236}">
                      <a16:creationId xmlns:a16="http://schemas.microsoft.com/office/drawing/2014/main" id="{00000000-0008-0000-0300-0000DF000000}"/>
                    </a:ext>
                  </a:extLst>
                </xdr:cNvPr>
                <xdr:cNvCxnSpPr/>
              </xdr:nvCxnSpPr>
              <xdr:spPr>
                <a:xfrm rot="10800000" flipH="1" flipV="1">
                  <a:off x="6019797" y="3505196"/>
                  <a:ext cx="656960" cy="1826253"/>
                </a:xfrm>
                <a:prstGeom prst="line">
                  <a:avLst/>
                </a:prstGeom>
                <a:ln>
                  <a:solidFill>
                    <a:schemeClr val="bg1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24" name="Straight Connector 223">
                  <a:extLst>
                    <a:ext uri="{FF2B5EF4-FFF2-40B4-BE49-F238E27FC236}">
                      <a16:creationId xmlns:a16="http://schemas.microsoft.com/office/drawing/2014/main" id="{00000000-0008-0000-0300-0000E0000000}"/>
                    </a:ext>
                  </a:extLst>
                </xdr:cNvPr>
                <xdr:cNvCxnSpPr/>
              </xdr:nvCxnSpPr>
              <xdr:spPr>
                <a:xfrm rot="10800000" flipV="1">
                  <a:off x="2590800" y="5323789"/>
                  <a:ext cx="4091723" cy="619809"/>
                </a:xfrm>
                <a:prstGeom prst="line">
                  <a:avLst/>
                </a:prstGeom>
                <a:ln>
                  <a:solidFill>
                    <a:schemeClr val="bg1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25" name="Straight Connector 224">
                  <a:extLst>
                    <a:ext uri="{FF2B5EF4-FFF2-40B4-BE49-F238E27FC236}">
                      <a16:creationId xmlns:a16="http://schemas.microsoft.com/office/drawing/2014/main" id="{00000000-0008-0000-0300-0000E1000000}"/>
                    </a:ext>
                  </a:extLst>
                </xdr:cNvPr>
                <xdr:cNvCxnSpPr/>
              </xdr:nvCxnSpPr>
              <xdr:spPr>
                <a:xfrm rot="10800000" flipH="1">
                  <a:off x="2590798" y="3124200"/>
                  <a:ext cx="457199" cy="2819400"/>
                </a:xfrm>
                <a:prstGeom prst="line">
                  <a:avLst/>
                </a:prstGeom>
                <a:ln>
                  <a:solidFill>
                    <a:schemeClr val="bg1"/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218" name="Rectangle 217">
                <a:extLst>
                  <a:ext uri="{FF2B5EF4-FFF2-40B4-BE49-F238E27FC236}">
                    <a16:creationId xmlns:a16="http://schemas.microsoft.com/office/drawing/2014/main" id="{00000000-0008-0000-0300-0000DA000000}"/>
                  </a:ext>
                </a:extLst>
              </xdr:cNvPr>
              <xdr:cNvSpPr/>
            </xdr:nvSpPr>
            <xdr:spPr>
              <a:xfrm rot="4634191">
                <a:off x="2861243" y="2614970"/>
                <a:ext cx="981834" cy="1384746"/>
              </a:xfrm>
              <a:prstGeom prst="rect">
                <a:avLst/>
              </a:prstGeom>
              <a:solidFill>
                <a:schemeClr val="bg1">
                  <a:alpha val="27059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 sz="3600"/>
              </a:p>
            </xdr:txBody>
          </xdr:sp>
          <xdr:sp macro="" textlink="">
            <xdr:nvSpPr>
              <xdr:cNvPr id="219" name="Isosceles Triangle 218">
                <a:extLst>
                  <a:ext uri="{FF2B5EF4-FFF2-40B4-BE49-F238E27FC236}">
                    <a16:creationId xmlns:a16="http://schemas.microsoft.com/office/drawing/2014/main" id="{00000000-0008-0000-0300-0000DB000000}"/>
                  </a:ext>
                </a:extLst>
              </xdr:cNvPr>
              <xdr:cNvSpPr/>
            </xdr:nvSpPr>
            <xdr:spPr>
              <a:xfrm rot="10106290">
                <a:off x="4014281" y="2629960"/>
                <a:ext cx="341500" cy="988535"/>
              </a:xfrm>
              <a:prstGeom prst="triangle">
                <a:avLst>
                  <a:gd name="adj" fmla="val 94287"/>
                </a:avLst>
              </a:prstGeom>
              <a:solidFill>
                <a:schemeClr val="bg1">
                  <a:alpha val="27059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 sz="3600"/>
              </a:p>
            </xdr:txBody>
          </xdr:sp>
          <xdr:sp macro="" textlink="">
            <xdr:nvSpPr>
              <xdr:cNvPr id="220" name="Isosceles Triangle 219">
                <a:extLst>
                  <a:ext uri="{FF2B5EF4-FFF2-40B4-BE49-F238E27FC236}">
                    <a16:creationId xmlns:a16="http://schemas.microsoft.com/office/drawing/2014/main" id="{00000000-0008-0000-0300-0000DC000000}"/>
                  </a:ext>
                </a:extLst>
              </xdr:cNvPr>
              <xdr:cNvSpPr/>
            </xdr:nvSpPr>
            <xdr:spPr>
              <a:xfrm rot="16608172">
                <a:off x="3123051" y="3290692"/>
                <a:ext cx="717795" cy="1247153"/>
              </a:xfrm>
              <a:prstGeom prst="triangle">
                <a:avLst>
                  <a:gd name="adj" fmla="val 11150"/>
                </a:avLst>
              </a:prstGeom>
              <a:solidFill>
                <a:schemeClr val="bg1">
                  <a:alpha val="27059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 sz="3600"/>
              </a:p>
            </xdr:txBody>
          </xdr:sp>
          <xdr:sp macro="" textlink="">
            <xdr:nvSpPr>
              <xdr:cNvPr id="221" name="Isosceles Triangle 220">
                <a:extLst>
                  <a:ext uri="{FF2B5EF4-FFF2-40B4-BE49-F238E27FC236}">
                    <a16:creationId xmlns:a16="http://schemas.microsoft.com/office/drawing/2014/main" id="{00000000-0008-0000-0300-0000DD000000}"/>
                  </a:ext>
                </a:extLst>
              </xdr:cNvPr>
              <xdr:cNvSpPr/>
            </xdr:nvSpPr>
            <xdr:spPr>
              <a:xfrm rot="4345476">
                <a:off x="3386313" y="3124511"/>
                <a:ext cx="183805" cy="1384022"/>
              </a:xfrm>
              <a:prstGeom prst="triangle">
                <a:avLst>
                  <a:gd name="adj" fmla="val 63429"/>
                </a:avLst>
              </a:prstGeom>
              <a:solidFill>
                <a:schemeClr val="bg1">
                  <a:alpha val="27059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 sz="3600"/>
              </a:p>
            </xdr:txBody>
          </xdr:sp>
        </xdr:grpSp>
        <xdr:cxnSp macro="">
          <xdr:nvCxnSpPr>
            <xdr:cNvPr id="187" name="Straight Arrow Connector 186">
              <a:extLst>
                <a:ext uri="{FF2B5EF4-FFF2-40B4-BE49-F238E27FC236}">
                  <a16:creationId xmlns:a16="http://schemas.microsoft.com/office/drawing/2014/main" id="{00000000-0008-0000-0300-0000BB000000}"/>
                </a:ext>
              </a:extLst>
            </xdr:cNvPr>
            <xdr:cNvCxnSpPr>
              <a:endCxn id="219" idx="2"/>
            </xdr:cNvCxnSpPr>
          </xdr:nvCxnSpPr>
          <xdr:spPr>
            <a:xfrm flipV="1">
              <a:off x="2863900" y="2263447"/>
              <a:ext cx="1692987" cy="1793981"/>
            </a:xfrm>
            <a:prstGeom prst="straightConnector1">
              <a:avLst/>
            </a:prstGeom>
            <a:ln>
              <a:solidFill>
                <a:schemeClr val="bg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88" name="TextBox 20">
              <a:extLst>
                <a:ext uri="{FF2B5EF4-FFF2-40B4-BE49-F238E27FC236}">
                  <a16:creationId xmlns:a16="http://schemas.microsoft.com/office/drawing/2014/main" id="{00000000-0008-0000-0300-0000BC000000}"/>
                </a:ext>
              </a:extLst>
            </xdr:cNvPr>
            <xdr:cNvSpPr txBox="1"/>
          </xdr:nvSpPr>
          <xdr:spPr>
            <a:xfrm>
              <a:off x="2853027" y="2912902"/>
              <a:ext cx="349063" cy="23467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400" b="1">
                  <a:solidFill>
                    <a:schemeClr val="bg1"/>
                  </a:solidFill>
                </a:rPr>
                <a:t>D2</a:t>
              </a:r>
            </a:p>
          </xdr:txBody>
        </xdr:sp>
        <xdr:sp macro="" textlink="">
          <xdr:nvSpPr>
            <xdr:cNvPr id="189" name="TextBox 55">
              <a:extLst>
                <a:ext uri="{FF2B5EF4-FFF2-40B4-BE49-F238E27FC236}">
                  <a16:creationId xmlns:a16="http://schemas.microsoft.com/office/drawing/2014/main" id="{00000000-0008-0000-0300-0000BD000000}"/>
                </a:ext>
              </a:extLst>
            </xdr:cNvPr>
            <xdr:cNvSpPr txBox="1"/>
          </xdr:nvSpPr>
          <xdr:spPr>
            <a:xfrm>
              <a:off x="3934043" y="2456916"/>
              <a:ext cx="349063" cy="23467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400" b="1">
                  <a:solidFill>
                    <a:schemeClr val="bg1"/>
                  </a:solidFill>
                </a:rPr>
                <a:t>D1</a:t>
              </a:r>
            </a:p>
          </xdr:txBody>
        </xdr:sp>
        <xdr:cxnSp macro="">
          <xdr:nvCxnSpPr>
            <xdr:cNvPr id="190" name="Straight Connector 189">
              <a:extLst>
                <a:ext uri="{FF2B5EF4-FFF2-40B4-BE49-F238E27FC236}">
                  <a16:creationId xmlns:a16="http://schemas.microsoft.com/office/drawing/2014/main" id="{00000000-0008-0000-0300-0000BE000000}"/>
                </a:ext>
              </a:extLst>
            </xdr:cNvPr>
            <xdr:cNvCxnSpPr/>
          </xdr:nvCxnSpPr>
          <xdr:spPr>
            <a:xfrm flipH="1" flipV="1">
              <a:off x="4327581" y="4346677"/>
              <a:ext cx="69794" cy="69749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91" name="Straight Connector 190">
              <a:extLst>
                <a:ext uri="{FF2B5EF4-FFF2-40B4-BE49-F238E27FC236}">
                  <a16:creationId xmlns:a16="http://schemas.microsoft.com/office/drawing/2014/main" id="{00000000-0008-0000-0300-0000BF000000}"/>
                </a:ext>
              </a:extLst>
            </xdr:cNvPr>
            <xdr:cNvCxnSpPr/>
          </xdr:nvCxnSpPr>
          <xdr:spPr>
            <a:xfrm>
              <a:off x="2444530" y="2623749"/>
              <a:ext cx="95470" cy="90876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92" name="Straight Arrow Connector 191">
              <a:extLst>
                <a:ext uri="{FF2B5EF4-FFF2-40B4-BE49-F238E27FC236}">
                  <a16:creationId xmlns:a16="http://schemas.microsoft.com/office/drawing/2014/main" id="{00000000-0008-0000-0300-0000C0000000}"/>
                </a:ext>
              </a:extLst>
            </xdr:cNvPr>
            <xdr:cNvCxnSpPr>
              <a:endCxn id="220" idx="2"/>
            </xdr:cNvCxnSpPr>
          </xdr:nvCxnSpPr>
          <xdr:spPr>
            <a:xfrm>
              <a:off x="2536996" y="2709198"/>
              <a:ext cx="1787410" cy="1631128"/>
            </a:xfrm>
            <a:prstGeom prst="straightConnector1">
              <a:avLst/>
            </a:prstGeom>
            <a:ln>
              <a:solidFill>
                <a:schemeClr val="bg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3" name="Straight Connector 192">
              <a:extLst>
                <a:ext uri="{FF2B5EF4-FFF2-40B4-BE49-F238E27FC236}">
                  <a16:creationId xmlns:a16="http://schemas.microsoft.com/office/drawing/2014/main" id="{00000000-0008-0000-0300-0000C1000000}"/>
                </a:ext>
              </a:extLst>
            </xdr:cNvPr>
            <xdr:cNvCxnSpPr/>
          </xdr:nvCxnSpPr>
          <xdr:spPr>
            <a:xfrm flipV="1">
              <a:off x="4558000" y="2170114"/>
              <a:ext cx="79087" cy="84016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94" name="Straight Connector 193">
              <a:extLst>
                <a:ext uri="{FF2B5EF4-FFF2-40B4-BE49-F238E27FC236}">
                  <a16:creationId xmlns:a16="http://schemas.microsoft.com/office/drawing/2014/main" id="{00000000-0008-0000-0300-0000C2000000}"/>
                </a:ext>
              </a:extLst>
            </xdr:cNvPr>
            <xdr:cNvCxnSpPr/>
          </xdr:nvCxnSpPr>
          <xdr:spPr>
            <a:xfrm flipV="1">
              <a:off x="2757488" y="4057651"/>
              <a:ext cx="101020" cy="116681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95" name="Straight Connector 194">
              <a:extLst>
                <a:ext uri="{FF2B5EF4-FFF2-40B4-BE49-F238E27FC236}">
                  <a16:creationId xmlns:a16="http://schemas.microsoft.com/office/drawing/2014/main" id="{00000000-0008-0000-0300-0000C3000000}"/>
                </a:ext>
              </a:extLst>
            </xdr:cNvPr>
            <xdr:cNvCxnSpPr/>
          </xdr:nvCxnSpPr>
          <xdr:spPr>
            <a:xfrm>
              <a:off x="2444530" y="2623749"/>
              <a:ext cx="312958" cy="1550582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96" name="Straight Connector 195">
              <a:extLst>
                <a:ext uri="{FF2B5EF4-FFF2-40B4-BE49-F238E27FC236}">
                  <a16:creationId xmlns:a16="http://schemas.microsoft.com/office/drawing/2014/main" id="{00000000-0008-0000-0300-0000C4000000}"/>
                </a:ext>
              </a:extLst>
            </xdr:cNvPr>
            <xdr:cNvCxnSpPr/>
          </xdr:nvCxnSpPr>
          <xdr:spPr>
            <a:xfrm flipV="1">
              <a:off x="2448873" y="2168639"/>
              <a:ext cx="2198934" cy="455111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97" name="Straight Connector 196">
              <a:extLst>
                <a:ext uri="{FF2B5EF4-FFF2-40B4-BE49-F238E27FC236}">
                  <a16:creationId xmlns:a16="http://schemas.microsoft.com/office/drawing/2014/main" id="{00000000-0008-0000-0300-0000C5000000}"/>
                </a:ext>
              </a:extLst>
            </xdr:cNvPr>
            <xdr:cNvCxnSpPr/>
          </xdr:nvCxnSpPr>
          <xdr:spPr>
            <a:xfrm flipH="1">
              <a:off x="4406902" y="2161377"/>
              <a:ext cx="244475" cy="2271129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98" name="Straight Connector 197">
              <a:extLst>
                <a:ext uri="{FF2B5EF4-FFF2-40B4-BE49-F238E27FC236}">
                  <a16:creationId xmlns:a16="http://schemas.microsoft.com/office/drawing/2014/main" id="{00000000-0008-0000-0300-0000C6000000}"/>
                </a:ext>
              </a:extLst>
            </xdr:cNvPr>
            <xdr:cNvCxnSpPr/>
          </xdr:nvCxnSpPr>
          <xdr:spPr>
            <a:xfrm flipH="1" flipV="1">
              <a:off x="2757489" y="4174332"/>
              <a:ext cx="1647866" cy="257181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99" name="TextBox 77">
              <a:extLst>
                <a:ext uri="{FF2B5EF4-FFF2-40B4-BE49-F238E27FC236}">
                  <a16:creationId xmlns:a16="http://schemas.microsoft.com/office/drawing/2014/main" id="{00000000-0008-0000-0300-0000C7000000}"/>
                </a:ext>
              </a:extLst>
            </xdr:cNvPr>
            <xdr:cNvSpPr txBox="1"/>
          </xdr:nvSpPr>
          <xdr:spPr>
            <a:xfrm>
              <a:off x="3257550" y="3502968"/>
              <a:ext cx="349063" cy="23467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400" b="1">
                  <a:solidFill>
                    <a:schemeClr val="bg1"/>
                  </a:solidFill>
                </a:rPr>
                <a:t>H’</a:t>
              </a:r>
            </a:p>
          </xdr:txBody>
        </xdr:sp>
        <xdr:sp macro="" textlink="">
          <xdr:nvSpPr>
            <xdr:cNvPr id="200" name="TextBox 78">
              <a:extLst>
                <a:ext uri="{FF2B5EF4-FFF2-40B4-BE49-F238E27FC236}">
                  <a16:creationId xmlns:a16="http://schemas.microsoft.com/office/drawing/2014/main" id="{00000000-0008-0000-0300-0000C8000000}"/>
                </a:ext>
              </a:extLst>
            </xdr:cNvPr>
            <xdr:cNvSpPr txBox="1"/>
          </xdr:nvSpPr>
          <xdr:spPr>
            <a:xfrm>
              <a:off x="2567147" y="2670423"/>
              <a:ext cx="349063" cy="19931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>
                  <a:solidFill>
                    <a:schemeClr val="bg1"/>
                  </a:solidFill>
                </a:rPr>
                <a:t>B’</a:t>
              </a:r>
            </a:p>
          </xdr:txBody>
        </xdr:sp>
        <xdr:sp macro="" textlink="">
          <xdr:nvSpPr>
            <xdr:cNvPr id="201" name="TextBox 79">
              <a:extLst>
                <a:ext uri="{FF2B5EF4-FFF2-40B4-BE49-F238E27FC236}">
                  <a16:creationId xmlns:a16="http://schemas.microsoft.com/office/drawing/2014/main" id="{00000000-0008-0000-0300-0000C9000000}"/>
                </a:ext>
              </a:extLst>
            </xdr:cNvPr>
            <xdr:cNvSpPr txBox="1"/>
          </xdr:nvSpPr>
          <xdr:spPr>
            <a:xfrm>
              <a:off x="2238827" y="2466580"/>
              <a:ext cx="349063" cy="19931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/>
                <a:t>B</a:t>
              </a:r>
              <a:r>
                <a:rPr lang="en-GB" sz="1100" b="1" baseline="-25000"/>
                <a:t>1</a:t>
              </a:r>
              <a:endParaRPr lang="en-GB" sz="1100" b="1"/>
            </a:p>
          </xdr:txBody>
        </xdr:sp>
        <xdr:sp macro="" textlink="">
          <xdr:nvSpPr>
            <xdr:cNvPr id="202" name="TextBox 80">
              <a:extLst>
                <a:ext uri="{FF2B5EF4-FFF2-40B4-BE49-F238E27FC236}">
                  <a16:creationId xmlns:a16="http://schemas.microsoft.com/office/drawing/2014/main" id="{00000000-0008-0000-0300-0000CA000000}"/>
                </a:ext>
              </a:extLst>
            </xdr:cNvPr>
            <xdr:cNvSpPr txBox="1"/>
          </xdr:nvSpPr>
          <xdr:spPr>
            <a:xfrm>
              <a:off x="4253103" y="2259974"/>
              <a:ext cx="349063" cy="19931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>
                  <a:solidFill>
                    <a:schemeClr val="bg1"/>
                  </a:solidFill>
                </a:rPr>
                <a:t>C’</a:t>
              </a:r>
            </a:p>
          </xdr:txBody>
        </xdr:sp>
        <xdr:sp macro="" textlink="">
          <xdr:nvSpPr>
            <xdr:cNvPr id="203" name="TextBox 81">
              <a:extLst>
                <a:ext uri="{FF2B5EF4-FFF2-40B4-BE49-F238E27FC236}">
                  <a16:creationId xmlns:a16="http://schemas.microsoft.com/office/drawing/2014/main" id="{00000000-0008-0000-0300-0000CB000000}"/>
                </a:ext>
              </a:extLst>
            </xdr:cNvPr>
            <xdr:cNvSpPr txBox="1"/>
          </xdr:nvSpPr>
          <xdr:spPr>
            <a:xfrm>
              <a:off x="4555341" y="2012576"/>
              <a:ext cx="349063" cy="19931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/>
                <a:t>C</a:t>
              </a:r>
              <a:r>
                <a:rPr lang="en-GB" sz="1100" b="1" baseline="-25000"/>
                <a:t>1</a:t>
              </a:r>
              <a:endParaRPr lang="en-GB" sz="1100" b="1"/>
            </a:p>
          </xdr:txBody>
        </xdr:sp>
        <xdr:sp macro="" textlink="">
          <xdr:nvSpPr>
            <xdr:cNvPr id="204" name="TextBox 82">
              <a:extLst>
                <a:ext uri="{FF2B5EF4-FFF2-40B4-BE49-F238E27FC236}">
                  <a16:creationId xmlns:a16="http://schemas.microsoft.com/office/drawing/2014/main" id="{00000000-0008-0000-0300-0000CC000000}"/>
                </a:ext>
              </a:extLst>
            </xdr:cNvPr>
            <xdr:cNvSpPr txBox="1"/>
          </xdr:nvSpPr>
          <xdr:spPr>
            <a:xfrm>
              <a:off x="4133960" y="4064801"/>
              <a:ext cx="349063" cy="19931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>
                  <a:solidFill>
                    <a:schemeClr val="bg1"/>
                  </a:solidFill>
                </a:rPr>
                <a:t>D’</a:t>
              </a:r>
            </a:p>
          </xdr:txBody>
        </xdr:sp>
        <xdr:sp macro="" textlink="">
          <xdr:nvSpPr>
            <xdr:cNvPr id="205" name="TextBox 83">
              <a:extLst>
                <a:ext uri="{FF2B5EF4-FFF2-40B4-BE49-F238E27FC236}">
                  <a16:creationId xmlns:a16="http://schemas.microsoft.com/office/drawing/2014/main" id="{00000000-0008-0000-0300-0000CD000000}"/>
                </a:ext>
              </a:extLst>
            </xdr:cNvPr>
            <xdr:cNvSpPr txBox="1"/>
          </xdr:nvSpPr>
          <xdr:spPr>
            <a:xfrm>
              <a:off x="4328392" y="4397107"/>
              <a:ext cx="349063" cy="19931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/>
                <a:t>D</a:t>
              </a:r>
              <a:r>
                <a:rPr lang="en-GB" sz="1100" b="1" baseline="-25000"/>
                <a:t>1</a:t>
              </a:r>
              <a:endParaRPr lang="en-GB" sz="1100" b="1"/>
            </a:p>
          </xdr:txBody>
        </xdr:sp>
        <xdr:sp macro="" textlink="">
          <xdr:nvSpPr>
            <xdr:cNvPr id="206" name="TextBox 84">
              <a:extLst>
                <a:ext uri="{FF2B5EF4-FFF2-40B4-BE49-F238E27FC236}">
                  <a16:creationId xmlns:a16="http://schemas.microsoft.com/office/drawing/2014/main" id="{00000000-0008-0000-0300-0000CE000000}"/>
                </a:ext>
              </a:extLst>
            </xdr:cNvPr>
            <xdr:cNvSpPr txBox="1"/>
          </xdr:nvSpPr>
          <xdr:spPr>
            <a:xfrm>
              <a:off x="2901624" y="3902747"/>
              <a:ext cx="349063" cy="19931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>
                  <a:solidFill>
                    <a:schemeClr val="bg1"/>
                  </a:solidFill>
                </a:rPr>
                <a:t>A’</a:t>
              </a:r>
            </a:p>
          </xdr:txBody>
        </xdr:sp>
        <xdr:sp macro="" textlink="">
          <xdr:nvSpPr>
            <xdr:cNvPr id="207" name="TextBox 85">
              <a:extLst>
                <a:ext uri="{FF2B5EF4-FFF2-40B4-BE49-F238E27FC236}">
                  <a16:creationId xmlns:a16="http://schemas.microsoft.com/office/drawing/2014/main" id="{00000000-0008-0000-0300-0000CF000000}"/>
                </a:ext>
              </a:extLst>
            </xdr:cNvPr>
            <xdr:cNvSpPr txBox="1"/>
          </xdr:nvSpPr>
          <xdr:spPr>
            <a:xfrm>
              <a:off x="2580941" y="4167192"/>
              <a:ext cx="349063" cy="19931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/>
                <a:t>A</a:t>
              </a:r>
              <a:r>
                <a:rPr lang="en-GB" sz="1100" b="1" baseline="-25000"/>
                <a:t>1</a:t>
              </a:r>
              <a:endParaRPr lang="en-GB" sz="1100" b="1"/>
            </a:p>
          </xdr:txBody>
        </xdr:sp>
        <xdr:cxnSp macro="">
          <xdr:nvCxnSpPr>
            <xdr:cNvPr id="209" name="Straight Arrow Connector 208">
              <a:extLst>
                <a:ext uri="{FF2B5EF4-FFF2-40B4-BE49-F238E27FC236}">
                  <a16:creationId xmlns:a16="http://schemas.microsoft.com/office/drawing/2014/main" id="{00000000-0008-0000-0300-0000D1000000}"/>
                </a:ext>
              </a:extLst>
            </xdr:cNvPr>
            <xdr:cNvCxnSpPr/>
          </xdr:nvCxnSpPr>
          <xdr:spPr>
            <a:xfrm>
              <a:off x="3398950" y="3495059"/>
              <a:ext cx="1362846" cy="0"/>
            </a:xfrm>
            <a:prstGeom prst="straightConnector1">
              <a:avLst/>
            </a:prstGeom>
            <a:ln>
              <a:solidFill>
                <a:schemeClr val="bg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0" name="Straight Arrow Connector 209">
              <a:extLst>
                <a:ext uri="{FF2B5EF4-FFF2-40B4-BE49-F238E27FC236}">
                  <a16:creationId xmlns:a16="http://schemas.microsoft.com/office/drawing/2014/main" id="{00000000-0008-0000-0300-0000D2000000}"/>
                </a:ext>
              </a:extLst>
            </xdr:cNvPr>
            <xdr:cNvCxnSpPr/>
          </xdr:nvCxnSpPr>
          <xdr:spPr>
            <a:xfrm flipV="1">
              <a:off x="3398950" y="2049050"/>
              <a:ext cx="0" cy="1437447"/>
            </a:xfrm>
            <a:prstGeom prst="straightConnector1">
              <a:avLst/>
            </a:prstGeom>
            <a:ln>
              <a:solidFill>
                <a:schemeClr val="bg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12" name="TextBox 45">
              <a:extLst>
                <a:ext uri="{FF2B5EF4-FFF2-40B4-BE49-F238E27FC236}">
                  <a16:creationId xmlns:a16="http://schemas.microsoft.com/office/drawing/2014/main" id="{00000000-0008-0000-0300-0000D4000000}"/>
                </a:ext>
              </a:extLst>
            </xdr:cNvPr>
            <xdr:cNvSpPr txBox="1"/>
          </xdr:nvSpPr>
          <xdr:spPr>
            <a:xfrm>
              <a:off x="4674428" y="3298041"/>
              <a:ext cx="349063" cy="19931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>
                  <a:solidFill>
                    <a:schemeClr val="bg1"/>
                  </a:solidFill>
                </a:rPr>
                <a:t>x</a:t>
              </a:r>
            </a:p>
          </xdr:txBody>
        </xdr:sp>
        <xdr:sp macro="" textlink="">
          <xdr:nvSpPr>
            <xdr:cNvPr id="211" name="TextBox 44">
              <a:extLst>
                <a:ext uri="{FF2B5EF4-FFF2-40B4-BE49-F238E27FC236}">
                  <a16:creationId xmlns:a16="http://schemas.microsoft.com/office/drawing/2014/main" id="{00000000-0008-0000-0300-0000D3000000}"/>
                </a:ext>
              </a:extLst>
            </xdr:cNvPr>
            <xdr:cNvSpPr txBox="1"/>
          </xdr:nvSpPr>
          <xdr:spPr>
            <a:xfrm>
              <a:off x="3256050" y="1945383"/>
              <a:ext cx="349063" cy="19931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>
                  <a:solidFill>
                    <a:schemeClr val="bg1"/>
                  </a:solidFill>
                </a:rPr>
                <a:t>y</a:t>
              </a:r>
            </a:p>
          </xdr:txBody>
        </xdr:sp>
        <xdr:sp macro="" textlink="">
          <xdr:nvSpPr>
            <xdr:cNvPr id="251" name="TextBox 45">
              <a:extLst>
                <a:ext uri="{FF2B5EF4-FFF2-40B4-BE49-F238E27FC236}">
                  <a16:creationId xmlns:a16="http://schemas.microsoft.com/office/drawing/2014/main" id="{00000000-0008-0000-0300-0000FB000000}"/>
                </a:ext>
              </a:extLst>
            </xdr:cNvPr>
            <xdr:cNvSpPr txBox="1"/>
          </xdr:nvSpPr>
          <xdr:spPr>
            <a:xfrm>
              <a:off x="3550094" y="1963317"/>
              <a:ext cx="601444" cy="19931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 b="1">
                  <a:solidFill>
                    <a:srgbClr val="FF0000"/>
                  </a:solidFill>
                </a:rPr>
                <a:t>rectangle</a:t>
              </a:r>
            </a:p>
          </xdr:txBody>
        </xdr:sp>
      </xdr:grpSp>
      <xdr:sp macro="" textlink="">
        <xdr:nvSpPr>
          <xdr:cNvPr id="2" name="Rectangle 1">
            <a:extLst>
              <a:ext uri="{FF2B5EF4-FFF2-40B4-BE49-F238E27FC236}">
                <a16:creationId xmlns:a16="http://schemas.microsoft.com/office/drawing/2014/main" id="{00000000-0008-0000-0300-000002000000}"/>
              </a:ext>
            </a:extLst>
          </xdr:cNvPr>
          <xdr:cNvSpPr/>
        </xdr:nvSpPr>
        <xdr:spPr>
          <a:xfrm>
            <a:off x="20706365" y="7318484"/>
            <a:ext cx="3060000" cy="3060000"/>
          </a:xfrm>
          <a:prstGeom prst="rect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34</xdr:col>
      <xdr:colOff>511690</xdr:colOff>
      <xdr:row>45</xdr:row>
      <xdr:rowOff>43961</xdr:rowOff>
    </xdr:from>
    <xdr:to>
      <xdr:col>36</xdr:col>
      <xdr:colOff>155465</xdr:colOff>
      <xdr:row>48</xdr:row>
      <xdr:rowOff>139462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27125661" y="9602579"/>
          <a:ext cx="854010" cy="667001"/>
          <a:chOff x="25540460" y="11693769"/>
          <a:chExt cx="860044" cy="667001"/>
        </a:xfrm>
      </xdr:grpSpPr>
      <xdr:sp macro="" textlink="">
        <xdr:nvSpPr>
          <xdr:cNvPr id="236" name="Multiply 215">
            <a:extLst>
              <a:ext uri="{FF2B5EF4-FFF2-40B4-BE49-F238E27FC236}">
                <a16:creationId xmlns:a16="http://schemas.microsoft.com/office/drawing/2014/main" id="{00000000-0008-0000-0300-0000EC000000}"/>
              </a:ext>
            </a:extLst>
          </xdr:cNvPr>
          <xdr:cNvSpPr/>
        </xdr:nvSpPr>
        <xdr:spPr>
          <a:xfrm>
            <a:off x="25697057" y="11783599"/>
            <a:ext cx="475000" cy="435907"/>
          </a:xfrm>
          <a:prstGeom prst="mathMultiply">
            <a:avLst>
              <a:gd name="adj1" fmla="val 0"/>
            </a:avLst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 sz="3600"/>
          </a:p>
        </xdr:txBody>
      </xdr:sp>
      <xdr:sp macro="" textlink="">
        <xdr:nvSpPr>
          <xdr:cNvPr id="237" name="TextBox 50">
            <a:extLst>
              <a:ext uri="{FF2B5EF4-FFF2-40B4-BE49-F238E27FC236}">
                <a16:creationId xmlns:a16="http://schemas.microsoft.com/office/drawing/2014/main" id="{00000000-0008-0000-0300-0000ED000000}"/>
              </a:ext>
            </a:extLst>
          </xdr:cNvPr>
          <xdr:cNvSpPr txBox="1"/>
        </xdr:nvSpPr>
        <xdr:spPr>
          <a:xfrm>
            <a:off x="25919666" y="12096210"/>
            <a:ext cx="480838" cy="264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/>
              <a:t>y</a:t>
            </a:r>
            <a:r>
              <a:rPr lang="en-GB" sz="1100" b="1" baseline="-25000"/>
              <a:t>r</a:t>
            </a:r>
          </a:p>
        </xdr:txBody>
      </xdr:sp>
      <xdr:sp macro="" textlink="">
        <xdr:nvSpPr>
          <xdr:cNvPr id="238" name="TextBox 51">
            <a:extLst>
              <a:ext uri="{FF2B5EF4-FFF2-40B4-BE49-F238E27FC236}">
                <a16:creationId xmlns:a16="http://schemas.microsoft.com/office/drawing/2014/main" id="{00000000-0008-0000-0300-0000EE000000}"/>
              </a:ext>
            </a:extLst>
          </xdr:cNvPr>
          <xdr:cNvSpPr txBox="1"/>
        </xdr:nvSpPr>
        <xdr:spPr>
          <a:xfrm>
            <a:off x="25540460" y="11693769"/>
            <a:ext cx="480838" cy="264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/>
              <a:t>x</a:t>
            </a:r>
            <a:r>
              <a:rPr lang="en-GB" sz="1100" b="1" baseline="-25000"/>
              <a:t>r</a:t>
            </a:r>
          </a:p>
        </xdr:txBody>
      </xdr:sp>
      <xdr:cxnSp macro="">
        <xdr:nvCxnSpPr>
          <xdr:cNvPr id="239" name="Straight Arrow Connector 238">
            <a:extLst>
              <a:ext uri="{FF2B5EF4-FFF2-40B4-BE49-F238E27FC236}">
                <a16:creationId xmlns:a16="http://schemas.microsoft.com/office/drawing/2014/main" id="{00000000-0008-0000-0300-0000EF000000}"/>
              </a:ext>
            </a:extLst>
          </xdr:cNvPr>
          <xdr:cNvCxnSpPr/>
        </xdr:nvCxnSpPr>
        <xdr:spPr>
          <a:xfrm>
            <a:off x="25934560" y="12001551"/>
            <a:ext cx="0" cy="252000"/>
          </a:xfrm>
          <a:prstGeom prst="straightConnector1">
            <a:avLst/>
          </a:prstGeom>
          <a:ln>
            <a:solidFill>
              <a:schemeClr val="tx1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0" name="Straight Arrow Connector 239">
            <a:extLst>
              <a:ext uri="{FF2B5EF4-FFF2-40B4-BE49-F238E27FC236}">
                <a16:creationId xmlns:a16="http://schemas.microsoft.com/office/drawing/2014/main" id="{00000000-0008-0000-0300-0000F0000000}"/>
              </a:ext>
            </a:extLst>
          </xdr:cNvPr>
          <xdr:cNvCxnSpPr/>
        </xdr:nvCxnSpPr>
        <xdr:spPr>
          <a:xfrm flipH="1">
            <a:off x="25695521" y="12001552"/>
            <a:ext cx="234000" cy="0"/>
          </a:xfrm>
          <a:prstGeom prst="straightConnector1">
            <a:avLst/>
          </a:prstGeom>
          <a:ln>
            <a:solidFill>
              <a:schemeClr val="tx1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32</xdr:col>
      <xdr:colOff>564173</xdr:colOff>
      <xdr:row>38</xdr:row>
      <xdr:rowOff>146539</xdr:rowOff>
    </xdr:from>
    <xdr:to>
      <xdr:col>37</xdr:col>
      <xdr:colOff>578827</xdr:colOff>
      <xdr:row>54</xdr:row>
      <xdr:rowOff>175846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20625288" y="7649308"/>
          <a:ext cx="3055327" cy="3077307"/>
        </a:xfrm>
        <a:prstGeom prst="line">
          <a:avLst/>
        </a:prstGeom>
        <a:ln>
          <a:solidFill>
            <a:srgbClr val="FF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571500</xdr:colOff>
      <xdr:row>38</xdr:row>
      <xdr:rowOff>146539</xdr:rowOff>
    </xdr:from>
    <xdr:to>
      <xdr:col>37</xdr:col>
      <xdr:colOff>578827</xdr:colOff>
      <xdr:row>54</xdr:row>
      <xdr:rowOff>175846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 flipV="1">
          <a:off x="20632615" y="7649308"/>
          <a:ext cx="3048000" cy="3077307"/>
        </a:xfrm>
        <a:prstGeom prst="line">
          <a:avLst/>
        </a:prstGeom>
        <a:ln>
          <a:solidFill>
            <a:srgbClr val="FF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220785</xdr:colOff>
      <xdr:row>44</xdr:row>
      <xdr:rowOff>49695</xdr:rowOff>
    </xdr:from>
    <xdr:to>
      <xdr:col>36</xdr:col>
      <xdr:colOff>162551</xdr:colOff>
      <xdr:row>47</xdr:row>
      <xdr:rowOff>28782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pSpPr/>
      </xdr:nvGrpSpPr>
      <xdr:grpSpPr>
        <a:xfrm>
          <a:off x="27439873" y="9417813"/>
          <a:ext cx="546884" cy="550587"/>
          <a:chOff x="19651784" y="11322325"/>
          <a:chExt cx="554679" cy="550587"/>
        </a:xfrm>
      </xdr:grpSpPr>
      <xdr:sp macro="" textlink="">
        <xdr:nvSpPr>
          <xdr:cNvPr id="241" name="Multiply 175">
            <a:extLst>
              <a:ext uri="{FF2B5EF4-FFF2-40B4-BE49-F238E27FC236}">
                <a16:creationId xmlns:a16="http://schemas.microsoft.com/office/drawing/2014/main" id="{00000000-0008-0000-0300-0000F1000000}"/>
              </a:ext>
            </a:extLst>
          </xdr:cNvPr>
          <xdr:cNvSpPr/>
        </xdr:nvSpPr>
        <xdr:spPr>
          <a:xfrm rot="245085">
            <a:off x="19651784" y="11437005"/>
            <a:ext cx="475215" cy="435907"/>
          </a:xfrm>
          <a:prstGeom prst="mathMultiply">
            <a:avLst>
              <a:gd name="adj1" fmla="val 0"/>
            </a:avLst>
          </a:prstGeom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 sz="3600"/>
          </a:p>
        </xdr:txBody>
      </xdr:sp>
      <xdr:sp macro="" textlink="">
        <xdr:nvSpPr>
          <xdr:cNvPr id="242" name="TextBox 50">
            <a:extLst>
              <a:ext uri="{FF2B5EF4-FFF2-40B4-BE49-F238E27FC236}">
                <a16:creationId xmlns:a16="http://schemas.microsoft.com/office/drawing/2014/main" id="{00000000-0008-0000-0300-0000F2000000}"/>
              </a:ext>
            </a:extLst>
          </xdr:cNvPr>
          <xdr:cNvSpPr txBox="1"/>
        </xdr:nvSpPr>
        <xdr:spPr>
          <a:xfrm>
            <a:off x="19725408" y="11322325"/>
            <a:ext cx="481055" cy="26115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 baseline="0"/>
              <a:t>C</a:t>
            </a:r>
            <a:r>
              <a:rPr lang="en-GB" sz="1100" b="1" baseline="-25000"/>
              <a:t>c</a:t>
            </a:r>
          </a:p>
        </xdr:txBody>
      </xdr:sp>
    </xdr:grpSp>
    <xdr:clientData/>
  </xdr:twoCellAnchor>
  <xdr:twoCellAnchor>
    <xdr:from>
      <xdr:col>32</xdr:col>
      <xdr:colOff>424071</xdr:colOff>
      <xdr:row>36</xdr:row>
      <xdr:rowOff>54251</xdr:rowOff>
    </xdr:from>
    <xdr:to>
      <xdr:col>38</xdr:col>
      <xdr:colOff>600051</xdr:colOff>
      <xdr:row>55</xdr:row>
      <xdr:rowOff>180270</xdr:rowOff>
    </xdr:to>
    <xdr:sp macro="" textlink="">
      <xdr:nvSpPr>
        <xdr:cNvPr id="249" name="Oval 248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SpPr/>
      </xdr:nvSpPr>
      <xdr:spPr>
        <a:xfrm>
          <a:off x="20780357" y="7252430"/>
          <a:ext cx="3849908" cy="3745519"/>
        </a:xfrm>
        <a:prstGeom prst="ellipse">
          <a:avLst/>
        </a:prstGeom>
        <a:noFill/>
        <a:ln w="9525">
          <a:solidFill>
            <a:srgbClr val="FFFF00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3600"/>
        </a:p>
      </xdr:txBody>
    </xdr:sp>
    <xdr:clientData/>
  </xdr:twoCellAnchor>
  <xdr:twoCellAnchor>
    <xdr:from>
      <xdr:col>22</xdr:col>
      <xdr:colOff>511629</xdr:colOff>
      <xdr:row>34</xdr:row>
      <xdr:rowOff>189140</xdr:rowOff>
    </xdr:from>
    <xdr:to>
      <xdr:col>28</xdr:col>
      <xdr:colOff>638317</xdr:colOff>
      <xdr:row>57</xdr:row>
      <xdr:rowOff>151040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pSpPr/>
      </xdr:nvGrpSpPr>
      <xdr:grpSpPr>
        <a:xfrm>
          <a:off x="18306570" y="7652258"/>
          <a:ext cx="4799541" cy="4343400"/>
          <a:chOff x="13669736" y="7006319"/>
          <a:chExt cx="4807545" cy="4343400"/>
        </a:xfrm>
      </xdr:grpSpPr>
      <xdr:grpSp>
        <xdr:nvGrpSpPr>
          <xdr:cNvPr id="141" name="Group 140">
            <a:extLst>
              <a:ext uri="{FF2B5EF4-FFF2-40B4-BE49-F238E27FC236}">
                <a16:creationId xmlns:a16="http://schemas.microsoft.com/office/drawing/2014/main" id="{00000000-0008-0000-0300-00008D000000}"/>
              </a:ext>
            </a:extLst>
          </xdr:cNvPr>
          <xdr:cNvGrpSpPr/>
        </xdr:nvGrpSpPr>
        <xdr:grpSpPr>
          <a:xfrm>
            <a:off x="13669736" y="7006319"/>
            <a:ext cx="4807545" cy="4343400"/>
            <a:chOff x="1985642" y="1575997"/>
            <a:chExt cx="3474284" cy="3272226"/>
          </a:xfrm>
        </xdr:grpSpPr>
        <xdr:grpSp>
          <xdr:nvGrpSpPr>
            <xdr:cNvPr id="142" name="Group 141">
              <a:extLst>
                <a:ext uri="{FF2B5EF4-FFF2-40B4-BE49-F238E27FC236}">
                  <a16:creationId xmlns:a16="http://schemas.microsoft.com/office/drawing/2014/main" id="{00000000-0008-0000-0300-00008E000000}"/>
                </a:ext>
              </a:extLst>
            </xdr:cNvPr>
            <xdr:cNvGrpSpPr/>
          </xdr:nvGrpSpPr>
          <xdr:grpSpPr>
            <a:xfrm>
              <a:off x="1985642" y="1575997"/>
              <a:ext cx="3474284" cy="3272226"/>
              <a:chOff x="1985642" y="1575997"/>
              <a:chExt cx="3474284" cy="3272226"/>
            </a:xfrm>
          </xdr:grpSpPr>
          <xdr:sp macro="" textlink="">
            <xdr:nvSpPr>
              <xdr:cNvPr id="145" name="Flowchart: Alternate Process 144">
                <a:extLst>
                  <a:ext uri="{FF2B5EF4-FFF2-40B4-BE49-F238E27FC236}">
                    <a16:creationId xmlns:a16="http://schemas.microsoft.com/office/drawing/2014/main" id="{00000000-0008-0000-0300-000091000000}"/>
                  </a:ext>
                </a:extLst>
              </xdr:cNvPr>
              <xdr:cNvSpPr/>
            </xdr:nvSpPr>
            <xdr:spPr>
              <a:xfrm>
                <a:off x="1985642" y="1575997"/>
                <a:ext cx="3474284" cy="3272226"/>
              </a:xfrm>
              <a:prstGeom prst="flowChartAlternateProcess">
                <a:avLst/>
              </a:prstGeom>
              <a:solidFill>
                <a:schemeClr val="bg1">
                  <a:lumMod val="6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GB" sz="3600"/>
              </a:p>
            </xdr:txBody>
          </xdr:sp>
          <xdr:grpSp>
            <xdr:nvGrpSpPr>
              <xdr:cNvPr id="146" name="Group 145">
                <a:extLst>
                  <a:ext uri="{FF2B5EF4-FFF2-40B4-BE49-F238E27FC236}">
                    <a16:creationId xmlns:a16="http://schemas.microsoft.com/office/drawing/2014/main" id="{00000000-0008-0000-0300-000092000000}"/>
                  </a:ext>
                </a:extLst>
              </xdr:cNvPr>
              <xdr:cNvGrpSpPr/>
            </xdr:nvGrpSpPr>
            <xdr:grpSpPr>
              <a:xfrm>
                <a:off x="2536997" y="2254670"/>
                <a:ext cx="2142358" cy="2093440"/>
                <a:chOff x="2562226" y="2598419"/>
                <a:chExt cx="1793555" cy="1752602"/>
              </a:xfrm>
            </xdr:grpSpPr>
            <xdr:grpSp>
              <xdr:nvGrpSpPr>
                <xdr:cNvPr id="177" name="Group 176">
                  <a:extLst>
                    <a:ext uri="{FF2B5EF4-FFF2-40B4-BE49-F238E27FC236}">
                      <a16:creationId xmlns:a16="http://schemas.microsoft.com/office/drawing/2014/main" id="{00000000-0008-0000-0300-0000B1000000}"/>
                    </a:ext>
                  </a:extLst>
                </xdr:cNvPr>
                <xdr:cNvGrpSpPr/>
              </xdr:nvGrpSpPr>
              <xdr:grpSpPr>
                <a:xfrm rot="10800000">
                  <a:off x="2562226" y="2598419"/>
                  <a:ext cx="1689733" cy="1752602"/>
                  <a:chOff x="2590798" y="3124199"/>
                  <a:chExt cx="4091725" cy="2819401"/>
                </a:xfrm>
              </xdr:grpSpPr>
              <xdr:cxnSp macro="">
                <xdr:nvCxnSpPr>
                  <xdr:cNvPr id="182" name="Straight Connector 181">
                    <a:extLst>
                      <a:ext uri="{FF2B5EF4-FFF2-40B4-BE49-F238E27FC236}">
                        <a16:creationId xmlns:a16="http://schemas.microsoft.com/office/drawing/2014/main" id="{00000000-0008-0000-0300-0000B6000000}"/>
                      </a:ext>
                    </a:extLst>
                  </xdr:cNvPr>
                  <xdr:cNvCxnSpPr/>
                </xdr:nvCxnSpPr>
                <xdr:spPr>
                  <a:xfrm rot="10800000" flipH="1" flipV="1">
                    <a:off x="3047999" y="3124199"/>
                    <a:ext cx="2971800" cy="381000"/>
                  </a:xfrm>
                  <a:prstGeom prst="line">
                    <a:avLst/>
                  </a:prstGeom>
                  <a:ln>
                    <a:solidFill>
                      <a:schemeClr val="bg1"/>
                    </a:solidFill>
                  </a:ln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83" name="Straight Connector 182">
                    <a:extLst>
                      <a:ext uri="{FF2B5EF4-FFF2-40B4-BE49-F238E27FC236}">
                        <a16:creationId xmlns:a16="http://schemas.microsoft.com/office/drawing/2014/main" id="{00000000-0008-0000-0300-0000B7000000}"/>
                      </a:ext>
                    </a:extLst>
                  </xdr:cNvPr>
                  <xdr:cNvCxnSpPr/>
                </xdr:nvCxnSpPr>
                <xdr:spPr>
                  <a:xfrm rot="10800000" flipH="1" flipV="1">
                    <a:off x="6019797" y="3505196"/>
                    <a:ext cx="656960" cy="1826253"/>
                  </a:xfrm>
                  <a:prstGeom prst="line">
                    <a:avLst/>
                  </a:prstGeom>
                  <a:ln>
                    <a:solidFill>
                      <a:schemeClr val="bg1"/>
                    </a:solidFill>
                  </a:ln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84" name="Straight Connector 183">
                    <a:extLst>
                      <a:ext uri="{FF2B5EF4-FFF2-40B4-BE49-F238E27FC236}">
                        <a16:creationId xmlns:a16="http://schemas.microsoft.com/office/drawing/2014/main" id="{00000000-0008-0000-0300-0000B8000000}"/>
                      </a:ext>
                    </a:extLst>
                  </xdr:cNvPr>
                  <xdr:cNvCxnSpPr/>
                </xdr:nvCxnSpPr>
                <xdr:spPr>
                  <a:xfrm rot="10800000" flipV="1">
                    <a:off x="2590800" y="5323789"/>
                    <a:ext cx="4091723" cy="619809"/>
                  </a:xfrm>
                  <a:prstGeom prst="line">
                    <a:avLst/>
                  </a:prstGeom>
                  <a:ln>
                    <a:solidFill>
                      <a:schemeClr val="bg1"/>
                    </a:solidFill>
                  </a:ln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85" name="Straight Connector 184">
                    <a:extLst>
                      <a:ext uri="{FF2B5EF4-FFF2-40B4-BE49-F238E27FC236}">
                        <a16:creationId xmlns:a16="http://schemas.microsoft.com/office/drawing/2014/main" id="{00000000-0008-0000-0300-0000B9000000}"/>
                      </a:ext>
                    </a:extLst>
                  </xdr:cNvPr>
                  <xdr:cNvCxnSpPr/>
                </xdr:nvCxnSpPr>
                <xdr:spPr>
                  <a:xfrm rot="10800000" flipH="1">
                    <a:off x="2590798" y="3124200"/>
                    <a:ext cx="457199" cy="2819400"/>
                  </a:xfrm>
                  <a:prstGeom prst="line">
                    <a:avLst/>
                  </a:prstGeom>
                  <a:ln>
                    <a:solidFill>
                      <a:schemeClr val="bg1"/>
                    </a:solidFill>
                  </a:ln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</xdr:grpSp>
            <xdr:sp macro="" textlink="">
              <xdr:nvSpPr>
                <xdr:cNvPr id="178" name="Rectangle 177">
                  <a:extLst>
                    <a:ext uri="{FF2B5EF4-FFF2-40B4-BE49-F238E27FC236}">
                      <a16:creationId xmlns:a16="http://schemas.microsoft.com/office/drawing/2014/main" id="{00000000-0008-0000-0300-0000B2000000}"/>
                    </a:ext>
                  </a:extLst>
                </xdr:cNvPr>
                <xdr:cNvSpPr/>
              </xdr:nvSpPr>
              <xdr:spPr>
                <a:xfrm rot="4634191">
                  <a:off x="2861243" y="2614970"/>
                  <a:ext cx="981834" cy="1384746"/>
                </a:xfrm>
                <a:prstGeom prst="rect">
                  <a:avLst/>
                </a:prstGeom>
                <a:solidFill>
                  <a:schemeClr val="bg1">
                    <a:alpha val="27059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n-GB" sz="3600"/>
                </a:p>
              </xdr:txBody>
            </xdr:sp>
            <xdr:sp macro="" textlink="">
              <xdr:nvSpPr>
                <xdr:cNvPr id="179" name="Isosceles Triangle 178">
                  <a:extLst>
                    <a:ext uri="{FF2B5EF4-FFF2-40B4-BE49-F238E27FC236}">
                      <a16:creationId xmlns:a16="http://schemas.microsoft.com/office/drawing/2014/main" id="{00000000-0008-0000-0300-0000B3000000}"/>
                    </a:ext>
                  </a:extLst>
                </xdr:cNvPr>
                <xdr:cNvSpPr/>
              </xdr:nvSpPr>
              <xdr:spPr>
                <a:xfrm rot="10106290">
                  <a:off x="4014281" y="2629960"/>
                  <a:ext cx="341500" cy="988535"/>
                </a:xfrm>
                <a:prstGeom prst="triangle">
                  <a:avLst>
                    <a:gd name="adj" fmla="val 94287"/>
                  </a:avLst>
                </a:prstGeom>
                <a:solidFill>
                  <a:schemeClr val="bg1">
                    <a:alpha val="27059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n-GB" sz="3600"/>
                </a:p>
              </xdr:txBody>
            </xdr:sp>
            <xdr:sp macro="" textlink="">
              <xdr:nvSpPr>
                <xdr:cNvPr id="180" name="Isosceles Triangle 179">
                  <a:extLst>
                    <a:ext uri="{FF2B5EF4-FFF2-40B4-BE49-F238E27FC236}">
                      <a16:creationId xmlns:a16="http://schemas.microsoft.com/office/drawing/2014/main" id="{00000000-0008-0000-0300-0000B4000000}"/>
                    </a:ext>
                  </a:extLst>
                </xdr:cNvPr>
                <xdr:cNvSpPr/>
              </xdr:nvSpPr>
              <xdr:spPr>
                <a:xfrm rot="16608172">
                  <a:off x="3123051" y="3290692"/>
                  <a:ext cx="717795" cy="1247153"/>
                </a:xfrm>
                <a:prstGeom prst="triangle">
                  <a:avLst>
                    <a:gd name="adj" fmla="val 11150"/>
                  </a:avLst>
                </a:prstGeom>
                <a:solidFill>
                  <a:schemeClr val="bg1">
                    <a:alpha val="27059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n-GB" sz="3600"/>
                </a:p>
              </xdr:txBody>
            </xdr:sp>
            <xdr:sp macro="" textlink="">
              <xdr:nvSpPr>
                <xdr:cNvPr id="181" name="Isosceles Triangle 180">
                  <a:extLst>
                    <a:ext uri="{FF2B5EF4-FFF2-40B4-BE49-F238E27FC236}">
                      <a16:creationId xmlns:a16="http://schemas.microsoft.com/office/drawing/2014/main" id="{00000000-0008-0000-0300-0000B5000000}"/>
                    </a:ext>
                  </a:extLst>
                </xdr:cNvPr>
                <xdr:cNvSpPr/>
              </xdr:nvSpPr>
              <xdr:spPr>
                <a:xfrm rot="4345476">
                  <a:off x="3386313" y="3124511"/>
                  <a:ext cx="183805" cy="1384022"/>
                </a:xfrm>
                <a:prstGeom prst="triangle">
                  <a:avLst>
                    <a:gd name="adj" fmla="val 63429"/>
                  </a:avLst>
                </a:prstGeom>
                <a:solidFill>
                  <a:schemeClr val="bg1">
                    <a:alpha val="27059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n-GB" sz="3600"/>
                </a:p>
              </xdr:txBody>
            </xdr:sp>
          </xdr:grpSp>
          <xdr:cxnSp macro="">
            <xdr:nvCxnSpPr>
              <xdr:cNvPr id="147" name="Straight Arrow Connector 146">
                <a:extLst>
                  <a:ext uri="{FF2B5EF4-FFF2-40B4-BE49-F238E27FC236}">
                    <a16:creationId xmlns:a16="http://schemas.microsoft.com/office/drawing/2014/main" id="{00000000-0008-0000-0300-000093000000}"/>
                  </a:ext>
                </a:extLst>
              </xdr:cNvPr>
              <xdr:cNvCxnSpPr>
                <a:endCxn id="179" idx="2"/>
              </xdr:cNvCxnSpPr>
            </xdr:nvCxnSpPr>
            <xdr:spPr>
              <a:xfrm flipV="1">
                <a:off x="2863900" y="2263447"/>
                <a:ext cx="1692987" cy="1793981"/>
              </a:xfrm>
              <a:prstGeom prst="straightConnector1">
                <a:avLst/>
              </a:prstGeom>
              <a:ln>
                <a:solidFill>
                  <a:schemeClr val="bg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8" name="TextBox 20">
                <a:extLst>
                  <a:ext uri="{FF2B5EF4-FFF2-40B4-BE49-F238E27FC236}">
                    <a16:creationId xmlns:a16="http://schemas.microsoft.com/office/drawing/2014/main" id="{00000000-0008-0000-0300-000094000000}"/>
                  </a:ext>
                </a:extLst>
              </xdr:cNvPr>
              <xdr:cNvSpPr txBox="1"/>
            </xdr:nvSpPr>
            <xdr:spPr>
              <a:xfrm>
                <a:off x="2853027" y="2912902"/>
                <a:ext cx="349063" cy="23467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1400" b="1">
                    <a:solidFill>
                      <a:schemeClr val="bg1"/>
                    </a:solidFill>
                  </a:rPr>
                  <a:t>D2</a:t>
                </a:r>
              </a:p>
            </xdr:txBody>
          </xdr:sp>
          <xdr:sp macro="" textlink="">
            <xdr:nvSpPr>
              <xdr:cNvPr id="149" name="TextBox 55">
                <a:extLst>
                  <a:ext uri="{FF2B5EF4-FFF2-40B4-BE49-F238E27FC236}">
                    <a16:creationId xmlns:a16="http://schemas.microsoft.com/office/drawing/2014/main" id="{00000000-0008-0000-0300-000095000000}"/>
                  </a:ext>
                </a:extLst>
              </xdr:cNvPr>
              <xdr:cNvSpPr txBox="1"/>
            </xdr:nvSpPr>
            <xdr:spPr>
              <a:xfrm>
                <a:off x="3934043" y="2456916"/>
                <a:ext cx="349063" cy="23467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1400" b="1">
                    <a:solidFill>
                      <a:schemeClr val="bg1"/>
                    </a:solidFill>
                  </a:rPr>
                  <a:t>D1</a:t>
                </a:r>
              </a:p>
            </xdr:txBody>
          </xdr:sp>
          <xdr:cxnSp macro="">
            <xdr:nvCxnSpPr>
              <xdr:cNvPr id="150" name="Straight Connector 149">
                <a:extLst>
                  <a:ext uri="{FF2B5EF4-FFF2-40B4-BE49-F238E27FC236}">
                    <a16:creationId xmlns:a16="http://schemas.microsoft.com/office/drawing/2014/main" id="{00000000-0008-0000-0300-000096000000}"/>
                  </a:ext>
                </a:extLst>
              </xdr:cNvPr>
              <xdr:cNvCxnSpPr/>
            </xdr:nvCxnSpPr>
            <xdr:spPr>
              <a:xfrm flipH="1" flipV="1">
                <a:off x="4327581" y="4346677"/>
                <a:ext cx="69794" cy="69749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51" name="Straight Connector 150">
                <a:extLst>
                  <a:ext uri="{FF2B5EF4-FFF2-40B4-BE49-F238E27FC236}">
                    <a16:creationId xmlns:a16="http://schemas.microsoft.com/office/drawing/2014/main" id="{00000000-0008-0000-0300-000097000000}"/>
                  </a:ext>
                </a:extLst>
              </xdr:cNvPr>
              <xdr:cNvCxnSpPr/>
            </xdr:nvCxnSpPr>
            <xdr:spPr>
              <a:xfrm>
                <a:off x="2444530" y="2623749"/>
                <a:ext cx="95470" cy="9087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52" name="Straight Arrow Connector 151">
                <a:extLst>
                  <a:ext uri="{FF2B5EF4-FFF2-40B4-BE49-F238E27FC236}">
                    <a16:creationId xmlns:a16="http://schemas.microsoft.com/office/drawing/2014/main" id="{00000000-0008-0000-0300-000098000000}"/>
                  </a:ext>
                </a:extLst>
              </xdr:cNvPr>
              <xdr:cNvCxnSpPr>
                <a:endCxn id="180" idx="2"/>
              </xdr:cNvCxnSpPr>
            </xdr:nvCxnSpPr>
            <xdr:spPr>
              <a:xfrm>
                <a:off x="2536996" y="2709198"/>
                <a:ext cx="1787410" cy="1631128"/>
              </a:xfrm>
              <a:prstGeom prst="straightConnector1">
                <a:avLst/>
              </a:prstGeom>
              <a:ln>
                <a:solidFill>
                  <a:schemeClr val="bg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53" name="Straight Connector 152">
                <a:extLst>
                  <a:ext uri="{FF2B5EF4-FFF2-40B4-BE49-F238E27FC236}">
                    <a16:creationId xmlns:a16="http://schemas.microsoft.com/office/drawing/2014/main" id="{00000000-0008-0000-0300-000099000000}"/>
                  </a:ext>
                </a:extLst>
              </xdr:cNvPr>
              <xdr:cNvCxnSpPr/>
            </xdr:nvCxnSpPr>
            <xdr:spPr>
              <a:xfrm flipV="1">
                <a:off x="4558000" y="2170114"/>
                <a:ext cx="79087" cy="8401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54" name="Straight Connector 153">
                <a:extLst>
                  <a:ext uri="{FF2B5EF4-FFF2-40B4-BE49-F238E27FC236}">
                    <a16:creationId xmlns:a16="http://schemas.microsoft.com/office/drawing/2014/main" id="{00000000-0008-0000-0300-00009A000000}"/>
                  </a:ext>
                </a:extLst>
              </xdr:cNvPr>
              <xdr:cNvCxnSpPr/>
            </xdr:nvCxnSpPr>
            <xdr:spPr>
              <a:xfrm flipV="1">
                <a:off x="2757488" y="4057651"/>
                <a:ext cx="101020" cy="116681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55" name="Straight Connector 154">
                <a:extLst>
                  <a:ext uri="{FF2B5EF4-FFF2-40B4-BE49-F238E27FC236}">
                    <a16:creationId xmlns:a16="http://schemas.microsoft.com/office/drawing/2014/main" id="{00000000-0008-0000-0300-00009B000000}"/>
                  </a:ext>
                </a:extLst>
              </xdr:cNvPr>
              <xdr:cNvCxnSpPr/>
            </xdr:nvCxnSpPr>
            <xdr:spPr>
              <a:xfrm>
                <a:off x="2444530" y="2623749"/>
                <a:ext cx="312958" cy="1550582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56" name="Straight Connector 155">
                <a:extLst>
                  <a:ext uri="{FF2B5EF4-FFF2-40B4-BE49-F238E27FC236}">
                    <a16:creationId xmlns:a16="http://schemas.microsoft.com/office/drawing/2014/main" id="{00000000-0008-0000-0300-00009C000000}"/>
                  </a:ext>
                </a:extLst>
              </xdr:cNvPr>
              <xdr:cNvCxnSpPr/>
            </xdr:nvCxnSpPr>
            <xdr:spPr>
              <a:xfrm flipV="1">
                <a:off x="2448873" y="2168639"/>
                <a:ext cx="2198934" cy="455111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57" name="Straight Connector 156">
                <a:extLst>
                  <a:ext uri="{FF2B5EF4-FFF2-40B4-BE49-F238E27FC236}">
                    <a16:creationId xmlns:a16="http://schemas.microsoft.com/office/drawing/2014/main" id="{00000000-0008-0000-0300-00009D000000}"/>
                  </a:ext>
                </a:extLst>
              </xdr:cNvPr>
              <xdr:cNvCxnSpPr/>
            </xdr:nvCxnSpPr>
            <xdr:spPr>
              <a:xfrm flipH="1">
                <a:off x="4406902" y="2161377"/>
                <a:ext cx="244475" cy="2271129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58" name="Straight Connector 157">
                <a:extLst>
                  <a:ext uri="{FF2B5EF4-FFF2-40B4-BE49-F238E27FC236}">
                    <a16:creationId xmlns:a16="http://schemas.microsoft.com/office/drawing/2014/main" id="{00000000-0008-0000-0300-00009E000000}"/>
                  </a:ext>
                </a:extLst>
              </xdr:cNvPr>
              <xdr:cNvCxnSpPr/>
            </xdr:nvCxnSpPr>
            <xdr:spPr>
              <a:xfrm flipH="1" flipV="1">
                <a:off x="2757489" y="4174332"/>
                <a:ext cx="1647866" cy="257181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59" name="TextBox 77">
                <a:extLst>
                  <a:ext uri="{FF2B5EF4-FFF2-40B4-BE49-F238E27FC236}">
                    <a16:creationId xmlns:a16="http://schemas.microsoft.com/office/drawing/2014/main" id="{00000000-0008-0000-0300-00009F000000}"/>
                  </a:ext>
                </a:extLst>
              </xdr:cNvPr>
              <xdr:cNvSpPr txBox="1"/>
            </xdr:nvSpPr>
            <xdr:spPr>
              <a:xfrm>
                <a:off x="3257550" y="3502968"/>
                <a:ext cx="349063" cy="23467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1400" b="1">
                    <a:solidFill>
                      <a:schemeClr val="bg1"/>
                    </a:solidFill>
                  </a:rPr>
                  <a:t>H’</a:t>
                </a:r>
              </a:p>
            </xdr:txBody>
          </xdr:sp>
          <xdr:sp macro="" textlink="">
            <xdr:nvSpPr>
              <xdr:cNvPr id="160" name="TextBox 78">
                <a:extLst>
                  <a:ext uri="{FF2B5EF4-FFF2-40B4-BE49-F238E27FC236}">
                    <a16:creationId xmlns:a16="http://schemas.microsoft.com/office/drawing/2014/main" id="{00000000-0008-0000-0300-0000A0000000}"/>
                  </a:ext>
                </a:extLst>
              </xdr:cNvPr>
              <xdr:cNvSpPr txBox="1"/>
            </xdr:nvSpPr>
            <xdr:spPr>
              <a:xfrm>
                <a:off x="2567147" y="2670423"/>
                <a:ext cx="349063" cy="19931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1100" b="1">
                    <a:solidFill>
                      <a:schemeClr val="bg1"/>
                    </a:solidFill>
                  </a:rPr>
                  <a:t>B’</a:t>
                </a:r>
              </a:p>
            </xdr:txBody>
          </xdr:sp>
          <xdr:sp macro="" textlink="">
            <xdr:nvSpPr>
              <xdr:cNvPr id="161" name="TextBox 79">
                <a:extLst>
                  <a:ext uri="{FF2B5EF4-FFF2-40B4-BE49-F238E27FC236}">
                    <a16:creationId xmlns:a16="http://schemas.microsoft.com/office/drawing/2014/main" id="{00000000-0008-0000-0300-0000A1000000}"/>
                  </a:ext>
                </a:extLst>
              </xdr:cNvPr>
              <xdr:cNvSpPr txBox="1"/>
            </xdr:nvSpPr>
            <xdr:spPr>
              <a:xfrm>
                <a:off x="2238827" y="2466580"/>
                <a:ext cx="349063" cy="19931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1100" b="1"/>
                  <a:t>B</a:t>
                </a:r>
                <a:r>
                  <a:rPr lang="en-GB" sz="1100" b="1" baseline="-25000"/>
                  <a:t>1</a:t>
                </a:r>
                <a:endParaRPr lang="en-GB" sz="1100" b="1"/>
              </a:p>
            </xdr:txBody>
          </xdr:sp>
          <xdr:sp macro="" textlink="">
            <xdr:nvSpPr>
              <xdr:cNvPr id="162" name="TextBox 80">
                <a:extLst>
                  <a:ext uri="{FF2B5EF4-FFF2-40B4-BE49-F238E27FC236}">
                    <a16:creationId xmlns:a16="http://schemas.microsoft.com/office/drawing/2014/main" id="{00000000-0008-0000-0300-0000A2000000}"/>
                  </a:ext>
                </a:extLst>
              </xdr:cNvPr>
              <xdr:cNvSpPr txBox="1"/>
            </xdr:nvSpPr>
            <xdr:spPr>
              <a:xfrm>
                <a:off x="4253103" y="2259974"/>
                <a:ext cx="349063" cy="19931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1100" b="1">
                    <a:solidFill>
                      <a:schemeClr val="bg1"/>
                    </a:solidFill>
                  </a:rPr>
                  <a:t>C’</a:t>
                </a:r>
              </a:p>
            </xdr:txBody>
          </xdr:sp>
          <xdr:sp macro="" textlink="">
            <xdr:nvSpPr>
              <xdr:cNvPr id="163" name="TextBox 81">
                <a:extLst>
                  <a:ext uri="{FF2B5EF4-FFF2-40B4-BE49-F238E27FC236}">
                    <a16:creationId xmlns:a16="http://schemas.microsoft.com/office/drawing/2014/main" id="{00000000-0008-0000-0300-0000A3000000}"/>
                  </a:ext>
                </a:extLst>
              </xdr:cNvPr>
              <xdr:cNvSpPr txBox="1"/>
            </xdr:nvSpPr>
            <xdr:spPr>
              <a:xfrm>
                <a:off x="4555341" y="2012576"/>
                <a:ext cx="349063" cy="19931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1100" b="1"/>
                  <a:t>C</a:t>
                </a:r>
                <a:r>
                  <a:rPr lang="en-GB" sz="1100" b="1" baseline="-25000"/>
                  <a:t>1</a:t>
                </a:r>
                <a:endParaRPr lang="en-GB" sz="1100" b="1"/>
              </a:p>
            </xdr:txBody>
          </xdr:sp>
          <xdr:sp macro="" textlink="">
            <xdr:nvSpPr>
              <xdr:cNvPr id="164" name="TextBox 82">
                <a:extLst>
                  <a:ext uri="{FF2B5EF4-FFF2-40B4-BE49-F238E27FC236}">
                    <a16:creationId xmlns:a16="http://schemas.microsoft.com/office/drawing/2014/main" id="{00000000-0008-0000-0300-0000A4000000}"/>
                  </a:ext>
                </a:extLst>
              </xdr:cNvPr>
              <xdr:cNvSpPr txBox="1"/>
            </xdr:nvSpPr>
            <xdr:spPr>
              <a:xfrm>
                <a:off x="4133960" y="4064801"/>
                <a:ext cx="349063" cy="19931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1100" b="1">
                    <a:solidFill>
                      <a:schemeClr val="bg1"/>
                    </a:solidFill>
                  </a:rPr>
                  <a:t>D’</a:t>
                </a:r>
              </a:p>
            </xdr:txBody>
          </xdr:sp>
          <xdr:sp macro="" textlink="">
            <xdr:nvSpPr>
              <xdr:cNvPr id="165" name="TextBox 83">
                <a:extLst>
                  <a:ext uri="{FF2B5EF4-FFF2-40B4-BE49-F238E27FC236}">
                    <a16:creationId xmlns:a16="http://schemas.microsoft.com/office/drawing/2014/main" id="{00000000-0008-0000-0300-0000A5000000}"/>
                  </a:ext>
                </a:extLst>
              </xdr:cNvPr>
              <xdr:cNvSpPr txBox="1"/>
            </xdr:nvSpPr>
            <xdr:spPr>
              <a:xfrm>
                <a:off x="4328392" y="4397107"/>
                <a:ext cx="349063" cy="19931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1100" b="1"/>
                  <a:t>D</a:t>
                </a:r>
                <a:r>
                  <a:rPr lang="en-GB" sz="1100" b="1" baseline="-25000"/>
                  <a:t>1</a:t>
                </a:r>
                <a:endParaRPr lang="en-GB" sz="1100" b="1"/>
              </a:p>
            </xdr:txBody>
          </xdr:sp>
          <xdr:sp macro="" textlink="">
            <xdr:nvSpPr>
              <xdr:cNvPr id="166" name="TextBox 84">
                <a:extLst>
                  <a:ext uri="{FF2B5EF4-FFF2-40B4-BE49-F238E27FC236}">
                    <a16:creationId xmlns:a16="http://schemas.microsoft.com/office/drawing/2014/main" id="{00000000-0008-0000-0300-0000A6000000}"/>
                  </a:ext>
                </a:extLst>
              </xdr:cNvPr>
              <xdr:cNvSpPr txBox="1"/>
            </xdr:nvSpPr>
            <xdr:spPr>
              <a:xfrm>
                <a:off x="2901624" y="3902747"/>
                <a:ext cx="349063" cy="19931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1100" b="1">
                    <a:solidFill>
                      <a:schemeClr val="bg1"/>
                    </a:solidFill>
                  </a:rPr>
                  <a:t>A’</a:t>
                </a:r>
              </a:p>
            </xdr:txBody>
          </xdr:sp>
          <xdr:sp macro="" textlink="">
            <xdr:nvSpPr>
              <xdr:cNvPr id="167" name="TextBox 85">
                <a:extLst>
                  <a:ext uri="{FF2B5EF4-FFF2-40B4-BE49-F238E27FC236}">
                    <a16:creationId xmlns:a16="http://schemas.microsoft.com/office/drawing/2014/main" id="{00000000-0008-0000-0300-0000A7000000}"/>
                  </a:ext>
                </a:extLst>
              </xdr:cNvPr>
              <xdr:cNvSpPr txBox="1"/>
            </xdr:nvSpPr>
            <xdr:spPr>
              <a:xfrm>
                <a:off x="2580941" y="4167192"/>
                <a:ext cx="349063" cy="19931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1100" b="1"/>
                  <a:t>A</a:t>
                </a:r>
                <a:r>
                  <a:rPr lang="en-GB" sz="1100" b="1" baseline="-25000"/>
                  <a:t>1</a:t>
                </a:r>
                <a:endParaRPr lang="en-GB" sz="1100" b="1"/>
              </a:p>
            </xdr:txBody>
          </xdr:sp>
          <xdr:grpSp>
            <xdr:nvGrpSpPr>
              <xdr:cNvPr id="168" name="Group 167">
                <a:extLst>
                  <a:ext uri="{FF2B5EF4-FFF2-40B4-BE49-F238E27FC236}">
                    <a16:creationId xmlns:a16="http://schemas.microsoft.com/office/drawing/2014/main" id="{00000000-0008-0000-0300-0000A8000000}"/>
                  </a:ext>
                </a:extLst>
              </xdr:cNvPr>
              <xdr:cNvGrpSpPr/>
            </xdr:nvGrpSpPr>
            <xdr:grpSpPr>
              <a:xfrm>
                <a:off x="2324711" y="1801213"/>
                <a:ext cx="2796147" cy="2821795"/>
                <a:chOff x="2133600" y="1828800"/>
                <a:chExt cx="3010504" cy="3009600"/>
              </a:xfrm>
            </xdr:grpSpPr>
            <xdr:sp macro="" textlink="">
              <xdr:nvSpPr>
                <xdr:cNvPr id="175" name="Oval 174">
                  <a:extLst>
                    <a:ext uri="{FF2B5EF4-FFF2-40B4-BE49-F238E27FC236}">
                      <a16:creationId xmlns:a16="http://schemas.microsoft.com/office/drawing/2014/main" id="{00000000-0008-0000-0300-0000AF000000}"/>
                    </a:ext>
                  </a:extLst>
                </xdr:cNvPr>
                <xdr:cNvSpPr/>
              </xdr:nvSpPr>
              <xdr:spPr>
                <a:xfrm>
                  <a:off x="2133600" y="1828800"/>
                  <a:ext cx="3010504" cy="3009600"/>
                </a:xfrm>
                <a:prstGeom prst="ellipse">
                  <a:avLst/>
                </a:prstGeom>
                <a:noFill/>
                <a:ln>
                  <a:solidFill>
                    <a:srgbClr val="FFFF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n-GB" sz="3600"/>
                </a:p>
              </xdr:txBody>
            </xdr:sp>
            <xdr:sp macro="" textlink="">
              <xdr:nvSpPr>
                <xdr:cNvPr id="176" name="Multiply 175">
                  <a:extLst>
                    <a:ext uri="{FF2B5EF4-FFF2-40B4-BE49-F238E27FC236}">
                      <a16:creationId xmlns:a16="http://schemas.microsoft.com/office/drawing/2014/main" id="{00000000-0008-0000-0300-0000B0000000}"/>
                    </a:ext>
                  </a:extLst>
                </xdr:cNvPr>
                <xdr:cNvSpPr/>
              </xdr:nvSpPr>
              <xdr:spPr>
                <a:xfrm rot="245085">
                  <a:off x="3417384" y="3121846"/>
                  <a:ext cx="371260" cy="350260"/>
                </a:xfrm>
                <a:prstGeom prst="mathMultiply">
                  <a:avLst>
                    <a:gd name="adj1" fmla="val 0"/>
                  </a:avLst>
                </a:prstGeom>
                <a:ln>
                  <a:solidFill>
                    <a:srgbClr val="FFFF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n-GB" sz="3600"/>
                </a:p>
              </xdr:txBody>
            </xdr:sp>
          </xdr:grpSp>
          <xdr:cxnSp macro="">
            <xdr:nvCxnSpPr>
              <xdr:cNvPr id="169" name="Straight Arrow Connector 168">
                <a:extLst>
                  <a:ext uri="{FF2B5EF4-FFF2-40B4-BE49-F238E27FC236}">
                    <a16:creationId xmlns:a16="http://schemas.microsoft.com/office/drawing/2014/main" id="{00000000-0008-0000-0300-0000A9000000}"/>
                  </a:ext>
                </a:extLst>
              </xdr:cNvPr>
              <xdr:cNvCxnSpPr/>
            </xdr:nvCxnSpPr>
            <xdr:spPr>
              <a:xfrm>
                <a:off x="3398950" y="3495059"/>
                <a:ext cx="1362846" cy="0"/>
              </a:xfrm>
              <a:prstGeom prst="straightConnector1">
                <a:avLst/>
              </a:prstGeom>
              <a:ln>
                <a:solidFill>
                  <a:schemeClr val="bg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70" name="Straight Arrow Connector 169">
                <a:extLst>
                  <a:ext uri="{FF2B5EF4-FFF2-40B4-BE49-F238E27FC236}">
                    <a16:creationId xmlns:a16="http://schemas.microsoft.com/office/drawing/2014/main" id="{00000000-0008-0000-0300-0000AA000000}"/>
                  </a:ext>
                </a:extLst>
              </xdr:cNvPr>
              <xdr:cNvCxnSpPr/>
            </xdr:nvCxnSpPr>
            <xdr:spPr>
              <a:xfrm flipV="1">
                <a:off x="3398950" y="2161378"/>
                <a:ext cx="0" cy="1340647"/>
              </a:xfrm>
              <a:prstGeom prst="straightConnector1">
                <a:avLst/>
              </a:prstGeom>
              <a:ln>
                <a:solidFill>
                  <a:schemeClr val="bg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71" name="TextBox 44">
                <a:extLst>
                  <a:ext uri="{FF2B5EF4-FFF2-40B4-BE49-F238E27FC236}">
                    <a16:creationId xmlns:a16="http://schemas.microsoft.com/office/drawing/2014/main" id="{00000000-0008-0000-0300-0000AB000000}"/>
                  </a:ext>
                </a:extLst>
              </xdr:cNvPr>
              <xdr:cNvSpPr txBox="1"/>
            </xdr:nvSpPr>
            <xdr:spPr>
              <a:xfrm>
                <a:off x="3429037" y="2038982"/>
                <a:ext cx="349063" cy="19931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1100" b="1">
                    <a:solidFill>
                      <a:schemeClr val="bg1"/>
                    </a:solidFill>
                  </a:rPr>
                  <a:t>y</a:t>
                </a:r>
              </a:p>
            </xdr:txBody>
          </xdr:sp>
          <xdr:sp macro="" textlink="">
            <xdr:nvSpPr>
              <xdr:cNvPr id="172" name="TextBox 45">
                <a:extLst>
                  <a:ext uri="{FF2B5EF4-FFF2-40B4-BE49-F238E27FC236}">
                    <a16:creationId xmlns:a16="http://schemas.microsoft.com/office/drawing/2014/main" id="{00000000-0008-0000-0300-0000AC000000}"/>
                  </a:ext>
                </a:extLst>
              </xdr:cNvPr>
              <xdr:cNvSpPr txBox="1"/>
            </xdr:nvSpPr>
            <xdr:spPr>
              <a:xfrm>
                <a:off x="4602847" y="3273082"/>
                <a:ext cx="349063" cy="19931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1100" b="1">
                    <a:solidFill>
                      <a:schemeClr val="bg1"/>
                    </a:solidFill>
                  </a:rPr>
                  <a:t>x</a:t>
                </a:r>
              </a:p>
            </xdr:txBody>
          </xdr:sp>
          <xdr:sp macro="" textlink="">
            <xdr:nvSpPr>
              <xdr:cNvPr id="173" name="TextBox 50">
                <a:extLst>
                  <a:ext uri="{FF2B5EF4-FFF2-40B4-BE49-F238E27FC236}">
                    <a16:creationId xmlns:a16="http://schemas.microsoft.com/office/drawing/2014/main" id="{00000000-0008-0000-0300-0000AD000000}"/>
                  </a:ext>
                </a:extLst>
              </xdr:cNvPr>
              <xdr:cNvSpPr txBox="1"/>
            </xdr:nvSpPr>
            <xdr:spPr>
              <a:xfrm>
                <a:off x="3678689" y="3249084"/>
                <a:ext cx="349063" cy="19931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1100" b="1"/>
                  <a:t>y</a:t>
                </a:r>
                <a:r>
                  <a:rPr lang="en-GB" sz="1100" b="1" baseline="-25000"/>
                  <a:t>c</a:t>
                </a:r>
              </a:p>
            </xdr:txBody>
          </xdr:sp>
          <xdr:sp macro="" textlink="">
            <xdr:nvSpPr>
              <xdr:cNvPr id="174" name="TextBox 51">
                <a:extLst>
                  <a:ext uri="{FF2B5EF4-FFF2-40B4-BE49-F238E27FC236}">
                    <a16:creationId xmlns:a16="http://schemas.microsoft.com/office/drawing/2014/main" id="{00000000-0008-0000-0300-0000AE000000}"/>
                  </a:ext>
                </a:extLst>
              </xdr:cNvPr>
              <xdr:cNvSpPr txBox="1"/>
            </xdr:nvSpPr>
            <xdr:spPr>
              <a:xfrm>
                <a:off x="3403405" y="2945894"/>
                <a:ext cx="349063" cy="19931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1100" b="1"/>
                  <a:t>x</a:t>
                </a:r>
                <a:r>
                  <a:rPr lang="en-GB" sz="1100" b="1" baseline="-25000"/>
                  <a:t>c</a:t>
                </a:r>
              </a:p>
            </xdr:txBody>
          </xdr:sp>
        </xdr:grpSp>
        <xdr:cxnSp macro="">
          <xdr:nvCxnSpPr>
            <xdr:cNvPr id="143" name="Straight Arrow Connector 142">
              <a:extLst>
                <a:ext uri="{FF2B5EF4-FFF2-40B4-BE49-F238E27FC236}">
                  <a16:creationId xmlns:a16="http://schemas.microsoft.com/office/drawing/2014/main" id="{00000000-0008-0000-0300-00008F000000}"/>
                </a:ext>
              </a:extLst>
            </xdr:cNvPr>
            <xdr:cNvCxnSpPr/>
          </xdr:nvCxnSpPr>
          <xdr:spPr>
            <a:xfrm>
              <a:off x="3689498" y="3177771"/>
              <a:ext cx="0" cy="317288"/>
            </a:xfrm>
            <a:prstGeom prst="straightConnector1">
              <a:avLst/>
            </a:prstGeom>
            <a:ln>
              <a:solidFill>
                <a:schemeClr val="tx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4" name="Straight Arrow Connector 143">
              <a:extLst>
                <a:ext uri="{FF2B5EF4-FFF2-40B4-BE49-F238E27FC236}">
                  <a16:creationId xmlns:a16="http://schemas.microsoft.com/office/drawing/2014/main" id="{00000000-0008-0000-0300-000090000000}"/>
                </a:ext>
              </a:extLst>
            </xdr:cNvPr>
            <xdr:cNvCxnSpPr/>
          </xdr:nvCxnSpPr>
          <xdr:spPr>
            <a:xfrm flipH="1">
              <a:off x="3398950" y="3177771"/>
              <a:ext cx="290548" cy="0"/>
            </a:xfrm>
            <a:prstGeom prst="straightConnector1">
              <a:avLst/>
            </a:prstGeom>
            <a:ln>
              <a:solidFill>
                <a:schemeClr val="tx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52" name="TextBox 45">
            <a:extLst>
              <a:ext uri="{FF2B5EF4-FFF2-40B4-BE49-F238E27FC236}">
                <a16:creationId xmlns:a16="http://schemas.microsoft.com/office/drawing/2014/main" id="{00000000-0008-0000-0300-0000FC000000}"/>
              </a:ext>
            </a:extLst>
          </xdr:cNvPr>
          <xdr:cNvSpPr txBox="1"/>
        </xdr:nvSpPr>
        <xdr:spPr>
          <a:xfrm>
            <a:off x="16034657" y="7026729"/>
            <a:ext cx="829164" cy="264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rgbClr val="FFFF00"/>
                </a:solidFill>
              </a:rPr>
              <a:t>circle</a:t>
            </a:r>
          </a:p>
        </xdr:txBody>
      </xdr:sp>
    </xdr:grpSp>
    <xdr:clientData/>
  </xdr:twoCellAnchor>
  <xdr:twoCellAnchor editAs="oneCell">
    <xdr:from>
      <xdr:col>22</xdr:col>
      <xdr:colOff>0</xdr:colOff>
      <xdr:row>8</xdr:row>
      <xdr:rowOff>0</xdr:rowOff>
    </xdr:from>
    <xdr:to>
      <xdr:col>36</xdr:col>
      <xdr:colOff>463914</xdr:colOff>
      <xdr:row>19</xdr:row>
      <xdr:rowOff>49221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8B30A26-FA01-55C0-9FE2-621C95318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873870" y="1731065"/>
          <a:ext cx="10517068" cy="25340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65484</xdr:colOff>
      <xdr:row>24</xdr:row>
      <xdr:rowOff>138753</xdr:rowOff>
    </xdr:from>
    <xdr:ext cx="136890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00000000-0008-0000-0400-000014000000}"/>
                </a:ext>
              </a:extLst>
            </xdr:cNvPr>
            <xdr:cNvSpPr txBox="1"/>
          </xdr:nvSpPr>
          <xdr:spPr>
            <a:xfrm>
              <a:off x="673619" y="4710753"/>
              <a:ext cx="136890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1" i="1">
                        <a:latin typeface="Cambria Math" panose="02040503050406030204" pitchFamily="18" charset="0"/>
                      </a:rPr>
                      <m:t>𝒕𝒈</m:t>
                    </m:r>
                    <m:r>
                      <a:rPr lang="en-GB" sz="1100" b="1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GB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𝜸</m:t>
                    </m:r>
                    <m:r>
                      <a:rPr lang="en-GB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)=</m:t>
                    </m:r>
                    <m:r>
                      <a:rPr lang="en-GB" sz="1100" b="1" i="1">
                        <a:latin typeface="Cambria Math" panose="02040503050406030204" pitchFamily="18" charset="0"/>
                      </a:rPr>
                      <m:t>𝒕𝒈</m:t>
                    </m:r>
                    <m:d>
                      <m:dPr>
                        <m:ctrlPr>
                          <a:rPr lang="en-GB" sz="11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𝜶</m:t>
                        </m:r>
                      </m:e>
                    </m:d>
                    <m:r>
                      <a:rPr lang="en-GB" sz="1100" b="1" i="0">
                        <a:latin typeface="Cambria Math" panose="02040503050406030204" pitchFamily="18" charset="0"/>
                      </a:rPr>
                      <m:t>𝐜𝐨𝐬</m:t>
                    </m:r>
                    <m:r>
                      <a:rPr lang="en-GB" sz="1100" b="1" i="1">
                        <a:latin typeface="Cambria Math" panose="02040503050406030204" pitchFamily="18" charset="0"/>
                      </a:rPr>
                      <m:t>⁡(</m:t>
                    </m:r>
                    <m:r>
                      <a:rPr lang="en-GB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𝜷</m:t>
                    </m:r>
                    <m:r>
                      <a:rPr lang="en-GB" sz="1100" b="1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GB" sz="1100" b="1"/>
            </a:p>
          </xdr:txBody>
        </xdr:sp>
      </mc:Choice>
      <mc:Fallback xmlns="">
        <xdr:sp macro="" textlink="">
          <xdr:nvSpPr>
            <xdr:cNvPr id="20" name="TextBox 19"/>
            <xdr:cNvSpPr txBox="1"/>
          </xdr:nvSpPr>
          <xdr:spPr>
            <a:xfrm>
              <a:off x="673619" y="4710753"/>
              <a:ext cx="136890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1" i="0">
                  <a:latin typeface="Cambria Math" panose="02040503050406030204" pitchFamily="18" charset="0"/>
                </a:rPr>
                <a:t>𝒕𝒈(</a:t>
              </a:r>
              <a:r>
                <a:rPr lang="en-GB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𝜸)=</a:t>
              </a:r>
              <a:r>
                <a:rPr lang="en-GB" sz="1100" b="1" i="0">
                  <a:latin typeface="Cambria Math" panose="02040503050406030204" pitchFamily="18" charset="0"/>
                </a:rPr>
                <a:t>𝒕𝒈(</a:t>
              </a:r>
              <a:r>
                <a:rPr lang="en-GB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𝜶)</a:t>
              </a:r>
              <a:r>
                <a:rPr lang="en-GB" sz="1100" b="1" i="0">
                  <a:latin typeface="Cambria Math" panose="02040503050406030204" pitchFamily="18" charset="0"/>
                </a:rPr>
                <a:t>𝐜𝐨𝐬⁡(</a:t>
              </a:r>
              <a:r>
                <a:rPr lang="en-GB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𝜷</a:t>
              </a:r>
              <a:r>
                <a:rPr lang="en-GB" sz="1100" b="1" i="0">
                  <a:latin typeface="Cambria Math" panose="02040503050406030204" pitchFamily="18" charset="0"/>
                </a:rPr>
                <a:t>)</a:t>
              </a:r>
              <a:endParaRPr lang="en-GB" sz="1100" b="1"/>
            </a:p>
          </xdr:txBody>
        </xdr:sp>
      </mc:Fallback>
    </mc:AlternateContent>
    <xdr:clientData/>
  </xdr:oneCellAnchor>
  <xdr:oneCellAnchor>
    <xdr:from>
      <xdr:col>1</xdr:col>
      <xdr:colOff>78621</xdr:colOff>
      <xdr:row>26</xdr:row>
      <xdr:rowOff>20511</xdr:rowOff>
    </xdr:from>
    <xdr:ext cx="1365630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00000000-0008-0000-0400-000015000000}"/>
                </a:ext>
              </a:extLst>
            </xdr:cNvPr>
            <xdr:cNvSpPr txBox="1"/>
          </xdr:nvSpPr>
          <xdr:spPr>
            <a:xfrm>
              <a:off x="686756" y="4973511"/>
              <a:ext cx="136563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1" i="1">
                        <a:latin typeface="Cambria Math" panose="02040503050406030204" pitchFamily="18" charset="0"/>
                      </a:rPr>
                      <m:t>𝒕𝒈</m:t>
                    </m:r>
                    <m:r>
                      <a:rPr lang="en-GB" sz="1100" b="1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GB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𝜹</m:t>
                    </m:r>
                    <m:r>
                      <a:rPr lang="en-GB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)=</m:t>
                    </m:r>
                    <m:r>
                      <a:rPr lang="en-GB" sz="1100" b="1" i="1">
                        <a:latin typeface="Cambria Math" panose="02040503050406030204" pitchFamily="18" charset="0"/>
                      </a:rPr>
                      <m:t>𝒕𝒈</m:t>
                    </m:r>
                    <m:d>
                      <m:dPr>
                        <m:ctrlPr>
                          <a:rPr lang="en-GB" sz="11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𝜷</m:t>
                        </m:r>
                      </m:e>
                    </m:d>
                    <m:r>
                      <a:rPr lang="en-GB" sz="1100" b="1" i="0">
                        <a:latin typeface="Cambria Math" panose="02040503050406030204" pitchFamily="18" charset="0"/>
                      </a:rPr>
                      <m:t>𝐜𝐨𝐬</m:t>
                    </m:r>
                    <m:r>
                      <a:rPr lang="en-GB" sz="1100" b="1" i="1">
                        <a:latin typeface="Cambria Math" panose="02040503050406030204" pitchFamily="18" charset="0"/>
                      </a:rPr>
                      <m:t>⁡(</m:t>
                    </m:r>
                    <m:r>
                      <a:rPr lang="en-GB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𝜶</m:t>
                    </m:r>
                    <m:r>
                      <a:rPr lang="en-GB" sz="1100" b="1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GB" sz="1100" b="1"/>
            </a:p>
          </xdr:txBody>
        </xdr:sp>
      </mc:Choice>
      <mc:Fallback xmlns="">
        <xdr:sp macro="" textlink="">
          <xdr:nvSpPr>
            <xdr:cNvPr id="21" name="TextBox 20"/>
            <xdr:cNvSpPr txBox="1"/>
          </xdr:nvSpPr>
          <xdr:spPr>
            <a:xfrm>
              <a:off x="686756" y="4973511"/>
              <a:ext cx="136563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1" i="0">
                  <a:latin typeface="Cambria Math" panose="02040503050406030204" pitchFamily="18" charset="0"/>
                </a:rPr>
                <a:t>𝒕𝒈(</a:t>
              </a:r>
              <a:r>
                <a:rPr lang="en-GB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𝜹)=</a:t>
              </a:r>
              <a:r>
                <a:rPr lang="en-GB" sz="1100" b="1" i="0">
                  <a:latin typeface="Cambria Math" panose="02040503050406030204" pitchFamily="18" charset="0"/>
                </a:rPr>
                <a:t>𝒕𝒈(</a:t>
              </a:r>
              <a:r>
                <a:rPr lang="en-GB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𝜷)</a:t>
              </a:r>
              <a:r>
                <a:rPr lang="en-GB" sz="1100" b="1" i="0">
                  <a:latin typeface="Cambria Math" panose="02040503050406030204" pitchFamily="18" charset="0"/>
                </a:rPr>
                <a:t>𝐜𝐨𝐬⁡(</a:t>
              </a:r>
              <a:r>
                <a:rPr lang="en-GB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𝜶</a:t>
              </a:r>
              <a:r>
                <a:rPr lang="en-GB" sz="1100" b="1" i="0">
                  <a:latin typeface="Cambria Math" panose="02040503050406030204" pitchFamily="18" charset="0"/>
                </a:rPr>
                <a:t>)</a:t>
              </a:r>
              <a:endParaRPr lang="en-GB" sz="1100" b="1"/>
            </a:p>
          </xdr:txBody>
        </xdr:sp>
      </mc:Fallback>
    </mc:AlternateContent>
    <xdr:clientData/>
  </xdr:oneCellAnchor>
  <xdr:twoCellAnchor>
    <xdr:from>
      <xdr:col>7</xdr:col>
      <xdr:colOff>424785</xdr:colOff>
      <xdr:row>17</xdr:row>
      <xdr:rowOff>151064</xdr:rowOff>
    </xdr:from>
    <xdr:to>
      <xdr:col>12</xdr:col>
      <xdr:colOff>273233</xdr:colOff>
      <xdr:row>27</xdr:row>
      <xdr:rowOff>111645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GrpSpPr/>
      </xdr:nvGrpSpPr>
      <xdr:grpSpPr>
        <a:xfrm>
          <a:off x="5615910" y="3389564"/>
          <a:ext cx="2904386" cy="1865581"/>
          <a:chOff x="2286000" y="1524000"/>
          <a:chExt cx="5616000" cy="3091534"/>
        </a:xfrm>
      </xdr:grpSpPr>
      <xdr:pic>
        <xdr:nvPicPr>
          <xdr:cNvPr id="81" name="Picture 80">
            <a:extLst>
              <a:ext uri="{FF2B5EF4-FFF2-40B4-BE49-F238E27FC236}">
                <a16:creationId xmlns:a16="http://schemas.microsoft.com/office/drawing/2014/main" id="{00000000-0008-0000-0400-00005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290762" y="2314575"/>
            <a:ext cx="4562475" cy="2228850"/>
          </a:xfrm>
          <a:prstGeom prst="rect">
            <a:avLst/>
          </a:prstGeom>
        </xdr:spPr>
      </xdr:pic>
      <xdr:cxnSp macro="">
        <xdr:nvCxnSpPr>
          <xdr:cNvPr id="82" name="Straight Arrow Connector 81">
            <a:extLst>
              <a:ext uri="{FF2B5EF4-FFF2-40B4-BE49-F238E27FC236}">
                <a16:creationId xmlns:a16="http://schemas.microsoft.com/office/drawing/2014/main" id="{00000000-0008-0000-0400-000052000000}"/>
              </a:ext>
            </a:extLst>
          </xdr:cNvPr>
          <xdr:cNvCxnSpPr/>
        </xdr:nvCxnSpPr>
        <xdr:spPr>
          <a:xfrm>
            <a:off x="2286000" y="4572000"/>
            <a:ext cx="5616000" cy="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" name="Straight Arrow Connector 82">
            <a:extLst>
              <a:ext uri="{FF2B5EF4-FFF2-40B4-BE49-F238E27FC236}">
                <a16:creationId xmlns:a16="http://schemas.microsoft.com/office/drawing/2014/main" id="{00000000-0008-0000-0400-000053000000}"/>
              </a:ext>
            </a:extLst>
          </xdr:cNvPr>
          <xdr:cNvCxnSpPr/>
        </xdr:nvCxnSpPr>
        <xdr:spPr>
          <a:xfrm flipV="1">
            <a:off x="2286000" y="1600202"/>
            <a:ext cx="4762" cy="2971799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4" name="TextBox 9">
            <a:extLst>
              <a:ext uri="{FF2B5EF4-FFF2-40B4-BE49-F238E27FC236}">
                <a16:creationId xmlns:a16="http://schemas.microsoft.com/office/drawing/2014/main" id="{00000000-0008-0000-0400-000054000000}"/>
              </a:ext>
            </a:extLst>
          </xdr:cNvPr>
          <xdr:cNvSpPr txBox="1"/>
        </xdr:nvSpPr>
        <xdr:spPr>
          <a:xfrm>
            <a:off x="7387518" y="3995529"/>
            <a:ext cx="461084" cy="6200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>
                <a:solidFill>
                  <a:schemeClr val="tx1"/>
                </a:solidFill>
              </a:rPr>
              <a:t>x</a:t>
            </a:r>
          </a:p>
        </xdr:txBody>
      </xdr:sp>
      <xdr:sp macro="" textlink="">
        <xdr:nvSpPr>
          <xdr:cNvPr id="85" name="TextBox 10">
            <a:extLst>
              <a:ext uri="{FF2B5EF4-FFF2-40B4-BE49-F238E27FC236}">
                <a16:creationId xmlns:a16="http://schemas.microsoft.com/office/drawing/2014/main" id="{00000000-0008-0000-0400-000055000000}"/>
              </a:ext>
            </a:extLst>
          </xdr:cNvPr>
          <xdr:cNvSpPr txBox="1"/>
        </xdr:nvSpPr>
        <xdr:spPr>
          <a:xfrm>
            <a:off x="2362200" y="1524000"/>
            <a:ext cx="457200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/>
              <a:t>y</a:t>
            </a:r>
          </a:p>
        </xdr:txBody>
      </xdr:sp>
    </xdr:grpSp>
    <xdr:clientData/>
  </xdr:twoCellAnchor>
  <xdr:twoCellAnchor>
    <xdr:from>
      <xdr:col>7</xdr:col>
      <xdr:colOff>82826</xdr:colOff>
      <xdr:row>4</xdr:row>
      <xdr:rowOff>57978</xdr:rowOff>
    </xdr:from>
    <xdr:to>
      <xdr:col>12</xdr:col>
      <xdr:colOff>20797</xdr:colOff>
      <xdr:row>16</xdr:row>
      <xdr:rowOff>53530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GrpSpPr/>
      </xdr:nvGrpSpPr>
      <xdr:grpSpPr>
        <a:xfrm>
          <a:off x="5273951" y="819978"/>
          <a:ext cx="2993909" cy="2281552"/>
          <a:chOff x="2771283" y="3463096"/>
          <a:chExt cx="3002536" cy="2281552"/>
        </a:xfrm>
      </xdr:grpSpPr>
      <xdr:cxnSp macro="">
        <xdr:nvCxnSpPr>
          <xdr:cNvPr id="87" name="Straight Connector 86">
            <a:extLst>
              <a:ext uri="{FF2B5EF4-FFF2-40B4-BE49-F238E27FC236}">
                <a16:creationId xmlns:a16="http://schemas.microsoft.com/office/drawing/2014/main" id="{00000000-0008-0000-0400-000057000000}"/>
              </a:ext>
            </a:extLst>
          </xdr:cNvPr>
          <xdr:cNvCxnSpPr/>
        </xdr:nvCxnSpPr>
        <xdr:spPr>
          <a:xfrm>
            <a:off x="4036448" y="3468501"/>
            <a:ext cx="598059" cy="1498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8" name="TextBox 3">
            <a:extLst>
              <a:ext uri="{FF2B5EF4-FFF2-40B4-BE49-F238E27FC236}">
                <a16:creationId xmlns:a16="http://schemas.microsoft.com/office/drawing/2014/main" id="{00000000-0008-0000-0400-000058000000}"/>
              </a:ext>
            </a:extLst>
          </xdr:cNvPr>
          <xdr:cNvSpPr txBox="1"/>
        </xdr:nvSpPr>
        <xdr:spPr>
          <a:xfrm>
            <a:off x="4286844" y="4100513"/>
            <a:ext cx="2190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0">
                <a:solidFill>
                  <a:schemeClr val="accent1"/>
                </a:solidFill>
              </a:rPr>
              <a:t>a</a:t>
            </a:r>
          </a:p>
        </xdr:txBody>
      </xdr:sp>
      <xdr:sp macro="" textlink="">
        <xdr:nvSpPr>
          <xdr:cNvPr id="89" name="TextBox 4">
            <a:extLst>
              <a:ext uri="{FF2B5EF4-FFF2-40B4-BE49-F238E27FC236}">
                <a16:creationId xmlns:a16="http://schemas.microsoft.com/office/drawing/2014/main" id="{00000000-0008-0000-0400-000059000000}"/>
              </a:ext>
            </a:extLst>
          </xdr:cNvPr>
          <xdr:cNvSpPr txBox="1"/>
        </xdr:nvSpPr>
        <xdr:spPr>
          <a:xfrm>
            <a:off x="3279329" y="4081463"/>
            <a:ext cx="2190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rgbClr val="00B050"/>
                </a:solidFill>
              </a:rPr>
              <a:t>e</a:t>
            </a:r>
          </a:p>
        </xdr:txBody>
      </xdr:sp>
      <xdr:sp macro="" textlink="">
        <xdr:nvSpPr>
          <xdr:cNvPr id="90" name="TextBox 5">
            <a:extLst>
              <a:ext uri="{FF2B5EF4-FFF2-40B4-BE49-F238E27FC236}">
                <a16:creationId xmlns:a16="http://schemas.microsoft.com/office/drawing/2014/main" id="{00000000-0008-0000-0400-00005A000000}"/>
              </a:ext>
            </a:extLst>
          </xdr:cNvPr>
          <xdr:cNvSpPr txBox="1"/>
        </xdr:nvSpPr>
        <xdr:spPr>
          <a:xfrm>
            <a:off x="4231005" y="4714875"/>
            <a:ext cx="2190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0">
                <a:solidFill>
                  <a:srgbClr val="FF0066"/>
                </a:solidFill>
              </a:rPr>
              <a:t>b</a:t>
            </a:r>
          </a:p>
        </xdr:txBody>
      </xdr:sp>
      <xdr:cxnSp macro="">
        <xdr:nvCxnSpPr>
          <xdr:cNvPr id="91" name="Straight Connector 90">
            <a:extLst>
              <a:ext uri="{FF2B5EF4-FFF2-40B4-BE49-F238E27FC236}">
                <a16:creationId xmlns:a16="http://schemas.microsoft.com/office/drawing/2014/main" id="{00000000-0008-0000-0400-00005B000000}"/>
              </a:ext>
            </a:extLst>
          </xdr:cNvPr>
          <xdr:cNvCxnSpPr/>
        </xdr:nvCxnSpPr>
        <xdr:spPr>
          <a:xfrm>
            <a:off x="4031311" y="4851345"/>
            <a:ext cx="603196" cy="124154"/>
          </a:xfrm>
          <a:prstGeom prst="line">
            <a:avLst/>
          </a:prstGeom>
          <a:ln>
            <a:solidFill>
              <a:srgbClr val="FF006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2" name="Straight Connector 91">
            <a:extLst>
              <a:ext uri="{FF2B5EF4-FFF2-40B4-BE49-F238E27FC236}">
                <a16:creationId xmlns:a16="http://schemas.microsoft.com/office/drawing/2014/main" id="{00000000-0008-0000-0400-00005C000000}"/>
              </a:ext>
            </a:extLst>
          </xdr:cNvPr>
          <xdr:cNvCxnSpPr/>
        </xdr:nvCxnSpPr>
        <xdr:spPr>
          <a:xfrm flipH="1">
            <a:off x="3114505" y="4849261"/>
            <a:ext cx="909088" cy="82826"/>
          </a:xfrm>
          <a:prstGeom prst="line">
            <a:avLst/>
          </a:prstGeom>
          <a:ln>
            <a:solidFill>
              <a:schemeClr val="accent2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3" name="TextBox 9">
            <a:extLst>
              <a:ext uri="{FF2B5EF4-FFF2-40B4-BE49-F238E27FC236}">
                <a16:creationId xmlns:a16="http://schemas.microsoft.com/office/drawing/2014/main" id="{00000000-0008-0000-0400-00005D000000}"/>
              </a:ext>
            </a:extLst>
          </xdr:cNvPr>
          <xdr:cNvSpPr txBox="1"/>
        </xdr:nvSpPr>
        <xdr:spPr>
          <a:xfrm>
            <a:off x="3507366" y="4697182"/>
            <a:ext cx="2190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0">
                <a:solidFill>
                  <a:schemeClr val="accent2"/>
                </a:solidFill>
              </a:rPr>
              <a:t>c</a:t>
            </a:r>
          </a:p>
        </xdr:txBody>
      </xdr:sp>
      <xdr:sp macro="" textlink="">
        <xdr:nvSpPr>
          <xdr:cNvPr id="94" name="TextBox 11">
            <a:extLst>
              <a:ext uri="{FF2B5EF4-FFF2-40B4-BE49-F238E27FC236}">
                <a16:creationId xmlns:a16="http://schemas.microsoft.com/office/drawing/2014/main" id="{00000000-0008-0000-0400-00005E000000}"/>
              </a:ext>
            </a:extLst>
          </xdr:cNvPr>
          <xdr:cNvSpPr txBox="1"/>
        </xdr:nvSpPr>
        <xdr:spPr>
          <a:xfrm>
            <a:off x="3629022" y="4156421"/>
            <a:ext cx="2190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0">
                <a:solidFill>
                  <a:srgbClr val="7030A0"/>
                </a:solidFill>
              </a:rPr>
              <a:t>d</a:t>
            </a:r>
          </a:p>
        </xdr:txBody>
      </xdr:sp>
      <xdr:cxnSp macro="">
        <xdr:nvCxnSpPr>
          <xdr:cNvPr id="95" name="Straight Connector 94">
            <a:extLst>
              <a:ext uri="{FF2B5EF4-FFF2-40B4-BE49-F238E27FC236}">
                <a16:creationId xmlns:a16="http://schemas.microsoft.com/office/drawing/2014/main" id="{00000000-0008-0000-0400-00005F000000}"/>
              </a:ext>
            </a:extLst>
          </xdr:cNvPr>
          <xdr:cNvCxnSpPr/>
        </xdr:nvCxnSpPr>
        <xdr:spPr>
          <a:xfrm flipV="1">
            <a:off x="3666405" y="4857545"/>
            <a:ext cx="357188" cy="16927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6" name="TextBox 13">
            <a:extLst>
              <a:ext uri="{FF2B5EF4-FFF2-40B4-BE49-F238E27FC236}">
                <a16:creationId xmlns:a16="http://schemas.microsoft.com/office/drawing/2014/main" id="{00000000-0008-0000-0400-000060000000}"/>
              </a:ext>
            </a:extLst>
          </xdr:cNvPr>
          <xdr:cNvSpPr txBox="1"/>
        </xdr:nvSpPr>
        <xdr:spPr>
          <a:xfrm>
            <a:off x="3832266" y="4843877"/>
            <a:ext cx="2190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0">
                <a:solidFill>
                  <a:srgbClr val="FF0000"/>
                </a:solidFill>
              </a:rPr>
              <a:t>f</a:t>
            </a:r>
          </a:p>
        </xdr:txBody>
      </xdr:sp>
      <xdr:sp macro="" textlink="">
        <xdr:nvSpPr>
          <xdr:cNvPr id="97" name="TextBox 14">
            <a:extLst>
              <a:ext uri="{FF2B5EF4-FFF2-40B4-BE49-F238E27FC236}">
                <a16:creationId xmlns:a16="http://schemas.microsoft.com/office/drawing/2014/main" id="{00000000-0008-0000-0400-000061000000}"/>
              </a:ext>
            </a:extLst>
          </xdr:cNvPr>
          <xdr:cNvSpPr txBox="1"/>
        </xdr:nvSpPr>
        <xdr:spPr>
          <a:xfrm>
            <a:off x="5105228" y="3696310"/>
            <a:ext cx="2190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0">
                <a:solidFill>
                  <a:schemeClr val="accent1"/>
                </a:solidFill>
              </a:rPr>
              <a:t>x</a:t>
            </a:r>
          </a:p>
        </xdr:txBody>
      </xdr:sp>
      <xdr:sp macro="" textlink="">
        <xdr:nvSpPr>
          <xdr:cNvPr id="98" name="TextBox 15">
            <a:extLst>
              <a:ext uri="{FF2B5EF4-FFF2-40B4-BE49-F238E27FC236}">
                <a16:creationId xmlns:a16="http://schemas.microsoft.com/office/drawing/2014/main" id="{00000000-0008-0000-0400-000062000000}"/>
              </a:ext>
            </a:extLst>
          </xdr:cNvPr>
          <xdr:cNvSpPr txBox="1"/>
        </xdr:nvSpPr>
        <xdr:spPr>
          <a:xfrm>
            <a:off x="5554744" y="5112676"/>
            <a:ext cx="2190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0">
                <a:solidFill>
                  <a:schemeClr val="accent1"/>
                </a:solidFill>
              </a:rPr>
              <a:t>y</a:t>
            </a:r>
          </a:p>
        </xdr:txBody>
      </xdr:sp>
      <xdr:cxnSp macro="">
        <xdr:nvCxnSpPr>
          <xdr:cNvPr id="99" name="Straight Arrow Connector 98">
            <a:extLst>
              <a:ext uri="{FF2B5EF4-FFF2-40B4-BE49-F238E27FC236}">
                <a16:creationId xmlns:a16="http://schemas.microsoft.com/office/drawing/2014/main" id="{00000000-0008-0000-0400-000063000000}"/>
              </a:ext>
            </a:extLst>
          </xdr:cNvPr>
          <xdr:cNvCxnSpPr/>
        </xdr:nvCxnSpPr>
        <xdr:spPr>
          <a:xfrm flipV="1">
            <a:off x="2900120" y="3962770"/>
            <a:ext cx="2260285" cy="1082704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" name="Straight Arrow Connector 99">
            <a:extLst>
              <a:ext uri="{FF2B5EF4-FFF2-40B4-BE49-F238E27FC236}">
                <a16:creationId xmlns:a16="http://schemas.microsoft.com/office/drawing/2014/main" id="{00000000-0008-0000-0400-000064000000}"/>
              </a:ext>
            </a:extLst>
          </xdr:cNvPr>
          <xdr:cNvCxnSpPr/>
        </xdr:nvCxnSpPr>
        <xdr:spPr>
          <a:xfrm>
            <a:off x="2771283" y="4885879"/>
            <a:ext cx="2941460" cy="51792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101" name="Picture 100" descr="Image result for rectangular pyramid">
            <a:extLst>
              <a:ext uri="{FF2B5EF4-FFF2-40B4-BE49-F238E27FC236}">
                <a16:creationId xmlns:a16="http://schemas.microsoft.com/office/drawing/2014/main" id="{00000000-0008-0000-0400-00006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99906" y="3463096"/>
            <a:ext cx="1860714" cy="17077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102" name="Straight Connector 101">
            <a:extLst>
              <a:ext uri="{FF2B5EF4-FFF2-40B4-BE49-F238E27FC236}">
                <a16:creationId xmlns:a16="http://schemas.microsoft.com/office/drawing/2014/main" id="{00000000-0008-0000-0400-000066000000}"/>
              </a:ext>
            </a:extLst>
          </xdr:cNvPr>
          <xdr:cNvCxnSpPr/>
        </xdr:nvCxnSpPr>
        <xdr:spPr>
          <a:xfrm flipH="1">
            <a:off x="3101341" y="3484932"/>
            <a:ext cx="919905" cy="1463586"/>
          </a:xfrm>
          <a:prstGeom prst="line">
            <a:avLst/>
          </a:prstGeom>
          <a:ln>
            <a:solidFill>
              <a:srgbClr val="00B05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3" name="Straight Connector 102">
            <a:extLst>
              <a:ext uri="{FF2B5EF4-FFF2-40B4-BE49-F238E27FC236}">
                <a16:creationId xmlns:a16="http://schemas.microsoft.com/office/drawing/2014/main" id="{00000000-0008-0000-0400-000067000000}"/>
              </a:ext>
            </a:extLst>
          </xdr:cNvPr>
          <xdr:cNvCxnSpPr/>
        </xdr:nvCxnSpPr>
        <xdr:spPr>
          <a:xfrm flipH="1">
            <a:off x="3637639" y="3478979"/>
            <a:ext cx="380758" cy="1570224"/>
          </a:xfrm>
          <a:prstGeom prst="line">
            <a:avLst/>
          </a:prstGeom>
          <a:ln>
            <a:solidFill>
              <a:srgbClr val="7030A0"/>
            </a:solidFill>
          </a:ln>
        </xdr:spPr>
        <xdr:style>
          <a:lnRef idx="1">
            <a:schemeClr val="accent6"/>
          </a:lnRef>
          <a:fillRef idx="0">
            <a:schemeClr val="accent6"/>
          </a:fillRef>
          <a:effectRef idx="0">
            <a:schemeClr val="accent6"/>
          </a:effectRef>
          <a:fontRef idx="minor">
            <a:schemeClr val="tx1"/>
          </a:fontRef>
        </xdr:style>
      </xdr:cxnSp>
      <xdr:cxnSp macro="">
        <xdr:nvCxnSpPr>
          <xdr:cNvPr id="104" name="Straight Arrow Connector 103">
            <a:extLst>
              <a:ext uri="{FF2B5EF4-FFF2-40B4-BE49-F238E27FC236}">
                <a16:creationId xmlns:a16="http://schemas.microsoft.com/office/drawing/2014/main" id="{00000000-0008-0000-0400-000068000000}"/>
              </a:ext>
            </a:extLst>
          </xdr:cNvPr>
          <xdr:cNvCxnSpPr/>
        </xdr:nvCxnSpPr>
        <xdr:spPr>
          <a:xfrm>
            <a:off x="3099906" y="4450375"/>
            <a:ext cx="0" cy="1263253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5" name="TextBox 23">
            <a:extLst>
              <a:ext uri="{FF2B5EF4-FFF2-40B4-BE49-F238E27FC236}">
                <a16:creationId xmlns:a16="http://schemas.microsoft.com/office/drawing/2014/main" id="{00000000-0008-0000-0400-000069000000}"/>
              </a:ext>
            </a:extLst>
          </xdr:cNvPr>
          <xdr:cNvSpPr txBox="1"/>
        </xdr:nvSpPr>
        <xdr:spPr>
          <a:xfrm>
            <a:off x="3114505" y="5506523"/>
            <a:ext cx="2190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0">
                <a:solidFill>
                  <a:schemeClr val="accent1"/>
                </a:solidFill>
              </a:rPr>
              <a:t>z</a:t>
            </a:r>
          </a:p>
        </xdr:txBody>
      </xdr:sp>
    </xdr:grpSp>
    <xdr:clientData/>
  </xdr:twoCellAnchor>
  <xdr:twoCellAnchor>
    <xdr:from>
      <xdr:col>13</xdr:col>
      <xdr:colOff>243387</xdr:colOff>
      <xdr:row>8</xdr:row>
      <xdr:rowOff>37068</xdr:rowOff>
    </xdr:from>
    <xdr:to>
      <xdr:col>20</xdr:col>
      <xdr:colOff>529002</xdr:colOff>
      <xdr:row>20</xdr:row>
      <xdr:rowOff>105383</xdr:rowOff>
    </xdr:to>
    <xdr:grpSp>
      <xdr:nvGrpSpPr>
        <xdr:cNvPr id="30" name="Group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GrpSpPr/>
      </xdr:nvGrpSpPr>
      <xdr:grpSpPr>
        <a:xfrm>
          <a:off x="9101637" y="1561068"/>
          <a:ext cx="4563928" cy="2354315"/>
          <a:chOff x="7281022" y="5573245"/>
          <a:chExt cx="5347447" cy="3361765"/>
        </a:xfrm>
      </xdr:grpSpPr>
      <xdr:sp macro="" textlink="">
        <xdr:nvSpPr>
          <xdr:cNvPr id="33" name="TextBox 32">
            <a:extLst>
              <a:ext uri="{FF2B5EF4-FFF2-40B4-BE49-F238E27FC236}">
                <a16:creationId xmlns:a16="http://schemas.microsoft.com/office/drawing/2014/main" id="{00000000-0008-0000-0400-000021000000}"/>
              </a:ext>
            </a:extLst>
          </xdr:cNvPr>
          <xdr:cNvSpPr txBox="1"/>
        </xdr:nvSpPr>
        <xdr:spPr>
          <a:xfrm>
            <a:off x="9887509" y="5741335"/>
            <a:ext cx="419101" cy="336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400" b="1">
                <a:solidFill>
                  <a:schemeClr val="bg1"/>
                </a:solidFill>
              </a:rPr>
              <a:t>D2</a:t>
            </a:r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0400-000022000000}"/>
              </a:ext>
            </a:extLst>
          </xdr:cNvPr>
          <xdr:cNvSpPr txBox="1"/>
        </xdr:nvSpPr>
        <xdr:spPr>
          <a:xfrm>
            <a:off x="9165850" y="7657541"/>
            <a:ext cx="414618" cy="336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400" b="1">
                <a:solidFill>
                  <a:schemeClr val="bg1"/>
                </a:solidFill>
              </a:rPr>
              <a:t>D1</a:t>
            </a:r>
          </a:p>
        </xdr:txBody>
      </xdr:sp>
      <xdr:cxnSp macro="">
        <xdr:nvCxnSpPr>
          <xdr:cNvPr id="35" name="Straight Arrow Connector 34">
            <a:extLst>
              <a:ext uri="{FF2B5EF4-FFF2-40B4-BE49-F238E27FC236}">
                <a16:creationId xmlns:a16="http://schemas.microsoft.com/office/drawing/2014/main" id="{00000000-0008-0000-0400-000023000000}"/>
              </a:ext>
            </a:extLst>
          </xdr:cNvPr>
          <xdr:cNvCxnSpPr/>
        </xdr:nvCxnSpPr>
        <xdr:spPr>
          <a:xfrm flipV="1">
            <a:off x="7281022" y="5573245"/>
            <a:ext cx="5347447" cy="3361765"/>
          </a:xfrm>
          <a:prstGeom prst="straightConnector1">
            <a:avLst/>
          </a:prstGeom>
          <a:ln w="19050">
            <a:solidFill>
              <a:schemeClr val="bg1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249114</xdr:colOff>
      <xdr:row>5</xdr:row>
      <xdr:rowOff>59599</xdr:rowOff>
    </xdr:from>
    <xdr:to>
      <xdr:col>20</xdr:col>
      <xdr:colOff>423416</xdr:colOff>
      <xdr:row>17</xdr:row>
      <xdr:rowOff>106938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GrpSpPr/>
      </xdr:nvGrpSpPr>
      <xdr:grpSpPr>
        <a:xfrm>
          <a:off x="8496177" y="1012099"/>
          <a:ext cx="5063802" cy="2333339"/>
          <a:chOff x="632942" y="2090676"/>
          <a:chExt cx="7984802" cy="3697132"/>
        </a:xfrm>
      </xdr:grpSpPr>
      <xdr:grpSp>
        <xdr:nvGrpSpPr>
          <xdr:cNvPr id="45" name="Group 44">
            <a:extLst>
              <a:ext uri="{FF2B5EF4-FFF2-40B4-BE49-F238E27FC236}">
                <a16:creationId xmlns:a16="http://schemas.microsoft.com/office/drawing/2014/main" id="{00000000-0008-0000-0400-00002D000000}"/>
              </a:ext>
            </a:extLst>
          </xdr:cNvPr>
          <xdr:cNvGrpSpPr/>
        </xdr:nvGrpSpPr>
        <xdr:grpSpPr>
          <a:xfrm>
            <a:off x="632942" y="2090676"/>
            <a:ext cx="7984802" cy="3697132"/>
            <a:chOff x="0" y="0"/>
            <a:chExt cx="7944243" cy="4498664"/>
          </a:xfrm>
        </xdr:grpSpPr>
        <xdr:pic>
          <xdr:nvPicPr>
            <xdr:cNvPr id="48" name="Picture 47">
              <a:extLst>
                <a:ext uri="{FF2B5EF4-FFF2-40B4-BE49-F238E27FC236}">
                  <a16:creationId xmlns:a16="http://schemas.microsoft.com/office/drawing/2014/main" id="{00000000-0008-0000-0400-00003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0" y="0"/>
              <a:ext cx="7944243" cy="4498664"/>
            </a:xfrm>
            <a:prstGeom prst="rect">
              <a:avLst/>
            </a:prstGeom>
          </xdr:spPr>
        </xdr:pic>
        <xdr:cxnSp macro="">
          <xdr:nvCxnSpPr>
            <xdr:cNvPr id="49" name="Straight Arrow Connector 48">
              <a:extLst>
                <a:ext uri="{FF2B5EF4-FFF2-40B4-BE49-F238E27FC236}">
                  <a16:creationId xmlns:a16="http://schemas.microsoft.com/office/drawing/2014/main" id="{00000000-0008-0000-0400-000031000000}"/>
                </a:ext>
              </a:extLst>
            </xdr:cNvPr>
            <xdr:cNvCxnSpPr/>
          </xdr:nvCxnSpPr>
          <xdr:spPr>
            <a:xfrm>
              <a:off x="2247340" y="606238"/>
              <a:ext cx="4697506" cy="2990290"/>
            </a:xfrm>
            <a:prstGeom prst="straightConnector1">
              <a:avLst/>
            </a:prstGeom>
            <a:ln w="19050">
              <a:solidFill>
                <a:schemeClr val="bg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0" name="TextBox 3">
              <a:extLst>
                <a:ext uri="{FF2B5EF4-FFF2-40B4-BE49-F238E27FC236}">
                  <a16:creationId xmlns:a16="http://schemas.microsoft.com/office/drawing/2014/main" id="{00000000-0008-0000-0400-000032000000}"/>
                </a:ext>
              </a:extLst>
            </xdr:cNvPr>
            <xdr:cNvSpPr txBox="1"/>
          </xdr:nvSpPr>
          <xdr:spPr>
            <a:xfrm>
              <a:off x="3514462" y="1015195"/>
              <a:ext cx="655235" cy="33920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400" b="1">
                  <a:solidFill>
                    <a:schemeClr val="bg1"/>
                  </a:solidFill>
                </a:rPr>
                <a:t>D2</a:t>
              </a:r>
            </a:p>
          </xdr:txBody>
        </xdr:sp>
        <xdr:sp macro="" textlink="">
          <xdr:nvSpPr>
            <xdr:cNvPr id="51" name="TextBox 39">
              <a:extLst>
                <a:ext uri="{FF2B5EF4-FFF2-40B4-BE49-F238E27FC236}">
                  <a16:creationId xmlns:a16="http://schemas.microsoft.com/office/drawing/2014/main" id="{00000000-0008-0000-0400-000033000000}"/>
                </a:ext>
              </a:extLst>
            </xdr:cNvPr>
            <xdr:cNvSpPr txBox="1"/>
          </xdr:nvSpPr>
          <xdr:spPr>
            <a:xfrm>
              <a:off x="2688849" y="3047442"/>
              <a:ext cx="626117" cy="36921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400" b="1">
                  <a:solidFill>
                    <a:schemeClr val="bg1"/>
                  </a:solidFill>
                </a:rPr>
                <a:t>D1</a:t>
              </a:r>
            </a:p>
          </xdr:txBody>
        </xdr:sp>
        <xdr:cxnSp macro="">
          <xdr:nvCxnSpPr>
            <xdr:cNvPr id="52" name="Straight Arrow Connector 51">
              <a:extLst>
                <a:ext uri="{FF2B5EF4-FFF2-40B4-BE49-F238E27FC236}">
                  <a16:creationId xmlns:a16="http://schemas.microsoft.com/office/drawing/2014/main" id="{00000000-0008-0000-0400-000034000000}"/>
                </a:ext>
              </a:extLst>
            </xdr:cNvPr>
            <xdr:cNvCxnSpPr/>
          </xdr:nvCxnSpPr>
          <xdr:spPr>
            <a:xfrm flipV="1">
              <a:off x="804022" y="963145"/>
              <a:ext cx="5347447" cy="3361766"/>
            </a:xfrm>
            <a:prstGeom prst="straightConnector1">
              <a:avLst/>
            </a:prstGeom>
            <a:ln w="19050">
              <a:solidFill>
                <a:schemeClr val="bg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46" name="Arc 45">
            <a:extLst>
              <a:ext uri="{FF2B5EF4-FFF2-40B4-BE49-F238E27FC236}">
                <a16:creationId xmlns:a16="http://schemas.microsoft.com/office/drawing/2014/main" id="{00000000-0008-0000-0400-00002E000000}"/>
              </a:ext>
            </a:extLst>
          </xdr:cNvPr>
          <xdr:cNvSpPr/>
        </xdr:nvSpPr>
        <xdr:spPr>
          <a:xfrm rot="3078182">
            <a:off x="5653569" y="3301633"/>
            <a:ext cx="533400" cy="609600"/>
          </a:xfrm>
          <a:prstGeom prst="arc">
            <a:avLst>
              <a:gd name="adj1" fmla="val 14233661"/>
              <a:gd name="adj2" fmla="val 20291348"/>
            </a:avLst>
          </a:prstGeom>
          <a:ln>
            <a:headEnd type="triangle" w="med" len="med"/>
            <a:tailEnd type="triangle" w="med" len="med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47" name="TextBox 11"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SpPr txBox="1"/>
        </xdr:nvSpPr>
        <xdr:spPr>
          <a:xfrm>
            <a:off x="6170332" y="3160147"/>
            <a:ext cx="522796" cy="30777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400" b="1">
                <a:sym typeface="Symbol" panose="05050102010706020507" pitchFamily="18" charset="2"/>
              </a:rPr>
              <a:t></a:t>
            </a:r>
            <a:endParaRPr lang="en-GB" sz="1400" b="1" baseline="-25000"/>
          </a:p>
        </xdr:txBody>
      </xdr:sp>
      <xdr:sp macro="" textlink="">
        <xdr:nvSpPr>
          <xdr:cNvPr id="53" name="TextBox 11">
            <a:extLst>
              <a:ext uri="{FF2B5EF4-FFF2-40B4-BE49-F238E27FC236}">
                <a16:creationId xmlns:a16="http://schemas.microsoft.com/office/drawing/2014/main" id="{00000000-0008-0000-0400-000035000000}"/>
              </a:ext>
            </a:extLst>
          </xdr:cNvPr>
          <xdr:cNvSpPr txBox="1"/>
        </xdr:nvSpPr>
        <xdr:spPr>
          <a:xfrm>
            <a:off x="6530223" y="3299461"/>
            <a:ext cx="522796" cy="41919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050" b="1" baseline="0">
                <a:solidFill>
                  <a:srgbClr val="FF0000"/>
                </a:solidFill>
                <a:sym typeface="Symbol" panose="05050102010706020507" pitchFamily="18" charset="2"/>
              </a:rPr>
              <a:t>f</a:t>
            </a:r>
            <a:endParaRPr lang="en-GB" sz="1050" b="1" baseline="-25000">
              <a:solidFill>
                <a:srgbClr val="FF0000"/>
              </a:solidFill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393481</xdr:colOff>
      <xdr:row>21</xdr:row>
      <xdr:rowOff>156998</xdr:rowOff>
    </xdr:from>
    <xdr:ext cx="136890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00000000-0008-0000-0500-000014000000}"/>
                </a:ext>
              </a:extLst>
            </xdr:cNvPr>
            <xdr:cNvSpPr txBox="1"/>
          </xdr:nvSpPr>
          <xdr:spPr>
            <a:xfrm>
              <a:off x="1004395" y="4157498"/>
              <a:ext cx="136890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1" i="1">
                        <a:latin typeface="Cambria Math" panose="02040503050406030204" pitchFamily="18" charset="0"/>
                      </a:rPr>
                      <m:t>𝒕𝒈</m:t>
                    </m:r>
                    <m:r>
                      <a:rPr lang="en-GB" sz="1100" b="1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GB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𝜸</m:t>
                    </m:r>
                    <m:r>
                      <a:rPr lang="en-GB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)=</m:t>
                    </m:r>
                    <m:r>
                      <a:rPr lang="en-GB" sz="1100" b="1" i="1">
                        <a:latin typeface="Cambria Math" panose="02040503050406030204" pitchFamily="18" charset="0"/>
                      </a:rPr>
                      <m:t>𝒕𝒈</m:t>
                    </m:r>
                    <m:d>
                      <m:dPr>
                        <m:ctrlPr>
                          <a:rPr lang="en-GB" sz="11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𝜶</m:t>
                        </m:r>
                      </m:e>
                    </m:d>
                    <m:r>
                      <a:rPr lang="en-GB" sz="1100" b="1" i="0">
                        <a:latin typeface="Cambria Math" panose="02040503050406030204" pitchFamily="18" charset="0"/>
                      </a:rPr>
                      <m:t>𝐜𝐨𝐬</m:t>
                    </m:r>
                    <m:r>
                      <a:rPr lang="en-GB" sz="1100" b="1" i="1">
                        <a:latin typeface="Cambria Math" panose="02040503050406030204" pitchFamily="18" charset="0"/>
                      </a:rPr>
                      <m:t>⁡(</m:t>
                    </m:r>
                    <m:r>
                      <a:rPr lang="en-GB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𝜷</m:t>
                    </m:r>
                    <m:r>
                      <a:rPr lang="en-GB" sz="1100" b="1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GB" sz="1100" b="1"/>
            </a:p>
          </xdr:txBody>
        </xdr:sp>
      </mc:Choice>
      <mc:Fallback xmlns="">
        <xdr:sp macro="" textlink="">
          <xdr:nvSpPr>
            <xdr:cNvPr id="20" name="TextBox 19"/>
            <xdr:cNvSpPr txBox="1"/>
          </xdr:nvSpPr>
          <xdr:spPr>
            <a:xfrm>
              <a:off x="1004395" y="4157498"/>
              <a:ext cx="136890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1" i="0">
                  <a:latin typeface="Cambria Math" panose="02040503050406030204" pitchFamily="18" charset="0"/>
                </a:rPr>
                <a:t>𝒕𝒈(</a:t>
              </a:r>
              <a:r>
                <a:rPr lang="en-GB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𝜸)</a:t>
              </a:r>
              <a:r>
                <a:rPr lang="en-GB" sz="1100" b="1" i="0">
                  <a:latin typeface="Cambria Math" panose="02040503050406030204" pitchFamily="18" charset="0"/>
                </a:rPr>
                <a:t>=𝒕𝒈(</a:t>
              </a:r>
              <a:r>
                <a:rPr lang="en-GB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𝜶)</a:t>
              </a:r>
              <a:r>
                <a:rPr lang="en-GB" sz="1100" b="1" i="0">
                  <a:latin typeface="Cambria Math" panose="02040503050406030204" pitchFamily="18" charset="0"/>
                </a:rPr>
                <a:t>𝐜𝐨𝐬⁡(</a:t>
              </a:r>
              <a:r>
                <a:rPr lang="en-GB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𝜷</a:t>
              </a:r>
              <a:r>
                <a:rPr lang="en-GB" sz="1100" b="1" i="0">
                  <a:latin typeface="Cambria Math" panose="02040503050406030204" pitchFamily="18" charset="0"/>
                </a:rPr>
                <a:t>)</a:t>
              </a:r>
              <a:endParaRPr lang="en-GB" sz="1100" b="1"/>
            </a:p>
          </xdr:txBody>
        </xdr:sp>
      </mc:Fallback>
    </mc:AlternateContent>
    <xdr:clientData/>
  </xdr:oneCellAnchor>
  <xdr:oneCellAnchor>
    <xdr:from>
      <xdr:col>1</xdr:col>
      <xdr:colOff>406618</xdr:colOff>
      <xdr:row>23</xdr:row>
      <xdr:rowOff>38756</xdr:rowOff>
    </xdr:from>
    <xdr:ext cx="1365630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00000000-0008-0000-0500-000015000000}"/>
                </a:ext>
              </a:extLst>
            </xdr:cNvPr>
            <xdr:cNvSpPr txBox="1"/>
          </xdr:nvSpPr>
          <xdr:spPr>
            <a:xfrm>
              <a:off x="1017532" y="4420256"/>
              <a:ext cx="136563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1" i="1">
                        <a:latin typeface="Cambria Math" panose="02040503050406030204" pitchFamily="18" charset="0"/>
                      </a:rPr>
                      <m:t>𝒕𝒈</m:t>
                    </m:r>
                    <m:r>
                      <a:rPr lang="en-GB" sz="1100" b="1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GB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𝜹</m:t>
                    </m:r>
                    <m:r>
                      <a:rPr lang="en-GB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)=</m:t>
                    </m:r>
                    <m:r>
                      <a:rPr lang="en-GB" sz="1100" b="1" i="1">
                        <a:latin typeface="Cambria Math" panose="02040503050406030204" pitchFamily="18" charset="0"/>
                      </a:rPr>
                      <m:t>𝒕𝒈</m:t>
                    </m:r>
                    <m:d>
                      <m:dPr>
                        <m:ctrlPr>
                          <a:rPr lang="en-GB" sz="11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𝜷</m:t>
                        </m:r>
                      </m:e>
                    </m:d>
                    <m:r>
                      <a:rPr lang="en-GB" sz="1100" b="1" i="0">
                        <a:latin typeface="Cambria Math" panose="02040503050406030204" pitchFamily="18" charset="0"/>
                      </a:rPr>
                      <m:t>𝐜𝐨𝐬</m:t>
                    </m:r>
                    <m:r>
                      <a:rPr lang="en-GB" sz="1100" b="1" i="1">
                        <a:latin typeface="Cambria Math" panose="02040503050406030204" pitchFamily="18" charset="0"/>
                      </a:rPr>
                      <m:t>⁡(</m:t>
                    </m:r>
                    <m:r>
                      <a:rPr lang="en-GB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𝜶</m:t>
                    </m:r>
                    <m:r>
                      <a:rPr lang="en-GB" sz="1100" b="1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GB" sz="1100" b="1"/>
            </a:p>
          </xdr:txBody>
        </xdr:sp>
      </mc:Choice>
      <mc:Fallback xmlns="">
        <xdr:sp macro="" textlink="">
          <xdr:nvSpPr>
            <xdr:cNvPr id="21" name="TextBox 20"/>
            <xdr:cNvSpPr txBox="1"/>
          </xdr:nvSpPr>
          <xdr:spPr>
            <a:xfrm>
              <a:off x="1017532" y="4420256"/>
              <a:ext cx="136563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1" i="0">
                  <a:latin typeface="Cambria Math" panose="02040503050406030204" pitchFamily="18" charset="0"/>
                </a:rPr>
                <a:t>𝒕𝒈(</a:t>
              </a:r>
              <a:r>
                <a:rPr lang="en-GB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𝜹)</a:t>
              </a:r>
              <a:r>
                <a:rPr lang="en-GB" sz="1100" b="1" i="0">
                  <a:latin typeface="Cambria Math" panose="02040503050406030204" pitchFamily="18" charset="0"/>
                </a:rPr>
                <a:t>=𝒕𝒈(</a:t>
              </a:r>
              <a:r>
                <a:rPr lang="en-GB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𝜷)</a:t>
              </a:r>
              <a:r>
                <a:rPr lang="en-GB" sz="1100" b="1" i="0">
                  <a:latin typeface="Cambria Math" panose="02040503050406030204" pitchFamily="18" charset="0"/>
                </a:rPr>
                <a:t>𝐜𝐨𝐬⁡(</a:t>
              </a:r>
              <a:r>
                <a:rPr lang="en-GB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𝜶</a:t>
              </a:r>
              <a:r>
                <a:rPr lang="en-GB" sz="1100" b="1" i="0">
                  <a:latin typeface="Cambria Math" panose="02040503050406030204" pitchFamily="18" charset="0"/>
                </a:rPr>
                <a:t>)</a:t>
              </a:r>
              <a:endParaRPr lang="en-GB" sz="1100" b="1"/>
            </a:p>
          </xdr:txBody>
        </xdr:sp>
      </mc:Fallback>
    </mc:AlternateContent>
    <xdr:clientData/>
  </xdr:oneCellAnchor>
  <xdr:oneCellAnchor>
    <xdr:from>
      <xdr:col>6</xdr:col>
      <xdr:colOff>255532</xdr:colOff>
      <xdr:row>12</xdr:row>
      <xdr:rowOff>51895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/>
      </xdr:nvSpPr>
      <xdr:spPr>
        <a:xfrm>
          <a:off x="4834101" y="233789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7</xdr:col>
      <xdr:colOff>111674</xdr:colOff>
      <xdr:row>17</xdr:row>
      <xdr:rowOff>137948</xdr:rowOff>
    </xdr:from>
    <xdr:to>
      <xdr:col>11</xdr:col>
      <xdr:colOff>581032</xdr:colOff>
      <xdr:row>27</xdr:row>
      <xdr:rowOff>98529</xdr:rowOff>
    </xdr:to>
    <xdr:grpSp>
      <xdr:nvGrpSpPr>
        <xdr:cNvPr id="63" name="Group 62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GrpSpPr/>
      </xdr:nvGrpSpPr>
      <xdr:grpSpPr>
        <a:xfrm>
          <a:off x="5284482" y="3376448"/>
          <a:ext cx="2901896" cy="1865581"/>
          <a:chOff x="2286000" y="1524000"/>
          <a:chExt cx="5616000" cy="3091534"/>
        </a:xfrm>
      </xdr:grpSpPr>
      <xdr:pic>
        <xdr:nvPicPr>
          <xdr:cNvPr id="64" name="Picture 63">
            <a:extLst>
              <a:ext uri="{FF2B5EF4-FFF2-40B4-BE49-F238E27FC236}">
                <a16:creationId xmlns:a16="http://schemas.microsoft.com/office/drawing/2014/main" id="{00000000-0008-0000-0500-00004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290762" y="2314575"/>
            <a:ext cx="4562475" cy="2228850"/>
          </a:xfrm>
          <a:prstGeom prst="rect">
            <a:avLst/>
          </a:prstGeom>
        </xdr:spPr>
      </xdr:pic>
      <xdr:cxnSp macro="">
        <xdr:nvCxnSpPr>
          <xdr:cNvPr id="65" name="Straight Arrow Connector 64">
            <a:extLst>
              <a:ext uri="{FF2B5EF4-FFF2-40B4-BE49-F238E27FC236}">
                <a16:creationId xmlns:a16="http://schemas.microsoft.com/office/drawing/2014/main" id="{00000000-0008-0000-0500-000041000000}"/>
              </a:ext>
            </a:extLst>
          </xdr:cNvPr>
          <xdr:cNvCxnSpPr/>
        </xdr:nvCxnSpPr>
        <xdr:spPr>
          <a:xfrm>
            <a:off x="2286000" y="4572000"/>
            <a:ext cx="5616000" cy="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" name="Straight Arrow Connector 65">
            <a:extLst>
              <a:ext uri="{FF2B5EF4-FFF2-40B4-BE49-F238E27FC236}">
                <a16:creationId xmlns:a16="http://schemas.microsoft.com/office/drawing/2014/main" id="{00000000-0008-0000-0500-000042000000}"/>
              </a:ext>
            </a:extLst>
          </xdr:cNvPr>
          <xdr:cNvCxnSpPr/>
        </xdr:nvCxnSpPr>
        <xdr:spPr>
          <a:xfrm flipV="1">
            <a:off x="2286000" y="1600202"/>
            <a:ext cx="4762" cy="2971799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7" name="TextBox 9">
            <a:extLst>
              <a:ext uri="{FF2B5EF4-FFF2-40B4-BE49-F238E27FC236}">
                <a16:creationId xmlns:a16="http://schemas.microsoft.com/office/drawing/2014/main" id="{00000000-0008-0000-0500-000043000000}"/>
              </a:ext>
            </a:extLst>
          </xdr:cNvPr>
          <xdr:cNvSpPr txBox="1"/>
        </xdr:nvSpPr>
        <xdr:spPr>
          <a:xfrm>
            <a:off x="7387518" y="3995529"/>
            <a:ext cx="461084" cy="6200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>
                <a:solidFill>
                  <a:schemeClr val="tx1"/>
                </a:solidFill>
              </a:rPr>
              <a:t>x</a:t>
            </a:r>
          </a:p>
        </xdr:txBody>
      </xdr:sp>
      <xdr:sp macro="" textlink="">
        <xdr:nvSpPr>
          <xdr:cNvPr id="68" name="TextBox 10">
            <a:extLst>
              <a:ext uri="{FF2B5EF4-FFF2-40B4-BE49-F238E27FC236}">
                <a16:creationId xmlns:a16="http://schemas.microsoft.com/office/drawing/2014/main" id="{00000000-0008-0000-0500-000044000000}"/>
              </a:ext>
            </a:extLst>
          </xdr:cNvPr>
          <xdr:cNvSpPr txBox="1"/>
        </xdr:nvSpPr>
        <xdr:spPr>
          <a:xfrm>
            <a:off x="2362200" y="1524000"/>
            <a:ext cx="457200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/>
              <a:t>y</a:t>
            </a:r>
          </a:p>
        </xdr:txBody>
      </xdr:sp>
    </xdr:grpSp>
    <xdr:clientData/>
  </xdr:twoCellAnchor>
  <xdr:twoCellAnchor>
    <xdr:from>
      <xdr:col>6</xdr:col>
      <xdr:colOff>525517</xdr:colOff>
      <xdr:row>3</xdr:row>
      <xdr:rowOff>111673</xdr:rowOff>
    </xdr:from>
    <xdr:to>
      <xdr:col>11</xdr:col>
      <xdr:colOff>473484</xdr:colOff>
      <xdr:row>15</xdr:row>
      <xdr:rowOff>107225</xdr:rowOff>
    </xdr:to>
    <xdr:grpSp>
      <xdr:nvGrpSpPr>
        <xdr:cNvPr id="69" name="Group 68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GrpSpPr/>
      </xdr:nvGrpSpPr>
      <xdr:grpSpPr>
        <a:xfrm>
          <a:off x="5090190" y="683173"/>
          <a:ext cx="2988640" cy="2281552"/>
          <a:chOff x="2771283" y="3463096"/>
          <a:chExt cx="3002536" cy="2281552"/>
        </a:xfrm>
      </xdr:grpSpPr>
      <xdr:cxnSp macro="">
        <xdr:nvCxnSpPr>
          <xdr:cNvPr id="70" name="Straight Connector 69">
            <a:extLst>
              <a:ext uri="{FF2B5EF4-FFF2-40B4-BE49-F238E27FC236}">
                <a16:creationId xmlns:a16="http://schemas.microsoft.com/office/drawing/2014/main" id="{00000000-0008-0000-0500-000046000000}"/>
              </a:ext>
            </a:extLst>
          </xdr:cNvPr>
          <xdr:cNvCxnSpPr/>
        </xdr:nvCxnSpPr>
        <xdr:spPr>
          <a:xfrm>
            <a:off x="4036448" y="3468501"/>
            <a:ext cx="598059" cy="14987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1" name="TextBox 3">
            <a:extLst>
              <a:ext uri="{FF2B5EF4-FFF2-40B4-BE49-F238E27FC236}">
                <a16:creationId xmlns:a16="http://schemas.microsoft.com/office/drawing/2014/main" id="{00000000-0008-0000-0500-000047000000}"/>
              </a:ext>
            </a:extLst>
          </xdr:cNvPr>
          <xdr:cNvSpPr txBox="1"/>
        </xdr:nvSpPr>
        <xdr:spPr>
          <a:xfrm>
            <a:off x="4286844" y="4100513"/>
            <a:ext cx="2190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0">
                <a:solidFill>
                  <a:schemeClr val="accent1"/>
                </a:solidFill>
              </a:rPr>
              <a:t>a</a:t>
            </a:r>
          </a:p>
        </xdr:txBody>
      </xdr:sp>
      <xdr:sp macro="" textlink="">
        <xdr:nvSpPr>
          <xdr:cNvPr id="72" name="TextBox 4">
            <a:extLst>
              <a:ext uri="{FF2B5EF4-FFF2-40B4-BE49-F238E27FC236}">
                <a16:creationId xmlns:a16="http://schemas.microsoft.com/office/drawing/2014/main" id="{00000000-0008-0000-0500-000048000000}"/>
              </a:ext>
            </a:extLst>
          </xdr:cNvPr>
          <xdr:cNvSpPr txBox="1"/>
        </xdr:nvSpPr>
        <xdr:spPr>
          <a:xfrm>
            <a:off x="3279329" y="4081463"/>
            <a:ext cx="2190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rgbClr val="00B050"/>
                </a:solidFill>
              </a:rPr>
              <a:t>e</a:t>
            </a:r>
          </a:p>
        </xdr:txBody>
      </xdr:sp>
      <xdr:sp macro="" textlink="">
        <xdr:nvSpPr>
          <xdr:cNvPr id="73" name="TextBox 5">
            <a:extLst>
              <a:ext uri="{FF2B5EF4-FFF2-40B4-BE49-F238E27FC236}">
                <a16:creationId xmlns:a16="http://schemas.microsoft.com/office/drawing/2014/main" id="{00000000-0008-0000-0500-000049000000}"/>
              </a:ext>
            </a:extLst>
          </xdr:cNvPr>
          <xdr:cNvSpPr txBox="1"/>
        </xdr:nvSpPr>
        <xdr:spPr>
          <a:xfrm>
            <a:off x="4231005" y="4714875"/>
            <a:ext cx="2190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0">
                <a:solidFill>
                  <a:srgbClr val="FF0066"/>
                </a:solidFill>
              </a:rPr>
              <a:t>b</a:t>
            </a:r>
          </a:p>
        </xdr:txBody>
      </xdr:sp>
      <xdr:cxnSp macro="">
        <xdr:nvCxnSpPr>
          <xdr:cNvPr id="74" name="Straight Connector 73">
            <a:extLst>
              <a:ext uri="{FF2B5EF4-FFF2-40B4-BE49-F238E27FC236}">
                <a16:creationId xmlns:a16="http://schemas.microsoft.com/office/drawing/2014/main" id="{00000000-0008-0000-0500-00004A000000}"/>
              </a:ext>
            </a:extLst>
          </xdr:cNvPr>
          <xdr:cNvCxnSpPr/>
        </xdr:nvCxnSpPr>
        <xdr:spPr>
          <a:xfrm>
            <a:off x="4031311" y="4851345"/>
            <a:ext cx="603196" cy="124154"/>
          </a:xfrm>
          <a:prstGeom prst="line">
            <a:avLst/>
          </a:prstGeom>
          <a:ln>
            <a:solidFill>
              <a:srgbClr val="FF006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" name="Straight Connector 74">
            <a:extLst>
              <a:ext uri="{FF2B5EF4-FFF2-40B4-BE49-F238E27FC236}">
                <a16:creationId xmlns:a16="http://schemas.microsoft.com/office/drawing/2014/main" id="{00000000-0008-0000-0500-00004B000000}"/>
              </a:ext>
            </a:extLst>
          </xdr:cNvPr>
          <xdr:cNvCxnSpPr/>
        </xdr:nvCxnSpPr>
        <xdr:spPr>
          <a:xfrm flipH="1">
            <a:off x="3114505" y="4849261"/>
            <a:ext cx="909088" cy="82826"/>
          </a:xfrm>
          <a:prstGeom prst="line">
            <a:avLst/>
          </a:prstGeom>
          <a:ln>
            <a:solidFill>
              <a:schemeClr val="accent2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6" name="TextBox 9">
            <a:extLst>
              <a:ext uri="{FF2B5EF4-FFF2-40B4-BE49-F238E27FC236}">
                <a16:creationId xmlns:a16="http://schemas.microsoft.com/office/drawing/2014/main" id="{00000000-0008-0000-0500-00004C000000}"/>
              </a:ext>
            </a:extLst>
          </xdr:cNvPr>
          <xdr:cNvSpPr txBox="1"/>
        </xdr:nvSpPr>
        <xdr:spPr>
          <a:xfrm>
            <a:off x="3507366" y="4697182"/>
            <a:ext cx="2190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0">
                <a:solidFill>
                  <a:schemeClr val="accent2"/>
                </a:solidFill>
              </a:rPr>
              <a:t>c</a:t>
            </a:r>
          </a:p>
        </xdr:txBody>
      </xdr:sp>
      <xdr:sp macro="" textlink="">
        <xdr:nvSpPr>
          <xdr:cNvPr id="77" name="TextBox 11">
            <a:extLst>
              <a:ext uri="{FF2B5EF4-FFF2-40B4-BE49-F238E27FC236}">
                <a16:creationId xmlns:a16="http://schemas.microsoft.com/office/drawing/2014/main" id="{00000000-0008-0000-0500-00004D000000}"/>
              </a:ext>
            </a:extLst>
          </xdr:cNvPr>
          <xdr:cNvSpPr txBox="1"/>
        </xdr:nvSpPr>
        <xdr:spPr>
          <a:xfrm>
            <a:off x="3629022" y="4156421"/>
            <a:ext cx="2190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0">
                <a:solidFill>
                  <a:srgbClr val="7030A0"/>
                </a:solidFill>
              </a:rPr>
              <a:t>d</a:t>
            </a:r>
          </a:p>
        </xdr:txBody>
      </xdr:sp>
      <xdr:cxnSp macro="">
        <xdr:nvCxnSpPr>
          <xdr:cNvPr id="78" name="Straight Connector 77">
            <a:extLst>
              <a:ext uri="{FF2B5EF4-FFF2-40B4-BE49-F238E27FC236}">
                <a16:creationId xmlns:a16="http://schemas.microsoft.com/office/drawing/2014/main" id="{00000000-0008-0000-0500-00004E000000}"/>
              </a:ext>
            </a:extLst>
          </xdr:cNvPr>
          <xdr:cNvCxnSpPr/>
        </xdr:nvCxnSpPr>
        <xdr:spPr>
          <a:xfrm flipV="1">
            <a:off x="3666405" y="4857545"/>
            <a:ext cx="357188" cy="16927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9" name="TextBox 13">
            <a:extLst>
              <a:ext uri="{FF2B5EF4-FFF2-40B4-BE49-F238E27FC236}">
                <a16:creationId xmlns:a16="http://schemas.microsoft.com/office/drawing/2014/main" id="{00000000-0008-0000-0500-00004F000000}"/>
              </a:ext>
            </a:extLst>
          </xdr:cNvPr>
          <xdr:cNvSpPr txBox="1"/>
        </xdr:nvSpPr>
        <xdr:spPr>
          <a:xfrm>
            <a:off x="3832266" y="4843877"/>
            <a:ext cx="2190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0">
                <a:solidFill>
                  <a:srgbClr val="FF0000"/>
                </a:solidFill>
              </a:rPr>
              <a:t>f</a:t>
            </a:r>
          </a:p>
        </xdr:txBody>
      </xdr:sp>
      <xdr:sp macro="" textlink="">
        <xdr:nvSpPr>
          <xdr:cNvPr id="80" name="TextBox 14">
            <a:extLst>
              <a:ext uri="{FF2B5EF4-FFF2-40B4-BE49-F238E27FC236}">
                <a16:creationId xmlns:a16="http://schemas.microsoft.com/office/drawing/2014/main" id="{00000000-0008-0000-0500-000050000000}"/>
              </a:ext>
            </a:extLst>
          </xdr:cNvPr>
          <xdr:cNvSpPr txBox="1"/>
        </xdr:nvSpPr>
        <xdr:spPr>
          <a:xfrm>
            <a:off x="5105228" y="3696310"/>
            <a:ext cx="2190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0">
                <a:solidFill>
                  <a:schemeClr val="accent1"/>
                </a:solidFill>
              </a:rPr>
              <a:t>x</a:t>
            </a:r>
          </a:p>
        </xdr:txBody>
      </xdr:sp>
      <xdr:sp macro="" textlink="">
        <xdr:nvSpPr>
          <xdr:cNvPr id="81" name="TextBox 15">
            <a:extLst>
              <a:ext uri="{FF2B5EF4-FFF2-40B4-BE49-F238E27FC236}">
                <a16:creationId xmlns:a16="http://schemas.microsoft.com/office/drawing/2014/main" id="{00000000-0008-0000-0500-000051000000}"/>
              </a:ext>
            </a:extLst>
          </xdr:cNvPr>
          <xdr:cNvSpPr txBox="1"/>
        </xdr:nvSpPr>
        <xdr:spPr>
          <a:xfrm>
            <a:off x="5554744" y="5112676"/>
            <a:ext cx="2190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0">
                <a:solidFill>
                  <a:schemeClr val="accent1"/>
                </a:solidFill>
              </a:rPr>
              <a:t>y</a:t>
            </a:r>
          </a:p>
        </xdr:txBody>
      </xdr:sp>
      <xdr:cxnSp macro="">
        <xdr:nvCxnSpPr>
          <xdr:cNvPr id="82" name="Straight Arrow Connector 81">
            <a:extLst>
              <a:ext uri="{FF2B5EF4-FFF2-40B4-BE49-F238E27FC236}">
                <a16:creationId xmlns:a16="http://schemas.microsoft.com/office/drawing/2014/main" id="{00000000-0008-0000-0500-000052000000}"/>
              </a:ext>
            </a:extLst>
          </xdr:cNvPr>
          <xdr:cNvCxnSpPr/>
        </xdr:nvCxnSpPr>
        <xdr:spPr>
          <a:xfrm flipV="1">
            <a:off x="2900120" y="3962770"/>
            <a:ext cx="2260285" cy="1082704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" name="Straight Arrow Connector 82">
            <a:extLst>
              <a:ext uri="{FF2B5EF4-FFF2-40B4-BE49-F238E27FC236}">
                <a16:creationId xmlns:a16="http://schemas.microsoft.com/office/drawing/2014/main" id="{00000000-0008-0000-0500-000053000000}"/>
              </a:ext>
            </a:extLst>
          </xdr:cNvPr>
          <xdr:cNvCxnSpPr/>
        </xdr:nvCxnSpPr>
        <xdr:spPr>
          <a:xfrm>
            <a:off x="2771283" y="4885879"/>
            <a:ext cx="2941460" cy="51792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84" name="Picture 83" descr="Image result for rectangular pyramid">
            <a:extLst>
              <a:ext uri="{FF2B5EF4-FFF2-40B4-BE49-F238E27FC236}">
                <a16:creationId xmlns:a16="http://schemas.microsoft.com/office/drawing/2014/main" id="{00000000-0008-0000-0500-00005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99906" y="3463096"/>
            <a:ext cx="1860714" cy="17077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85" name="Straight Connector 84">
            <a:extLst>
              <a:ext uri="{FF2B5EF4-FFF2-40B4-BE49-F238E27FC236}">
                <a16:creationId xmlns:a16="http://schemas.microsoft.com/office/drawing/2014/main" id="{00000000-0008-0000-0500-000055000000}"/>
              </a:ext>
            </a:extLst>
          </xdr:cNvPr>
          <xdr:cNvCxnSpPr/>
        </xdr:nvCxnSpPr>
        <xdr:spPr>
          <a:xfrm flipH="1">
            <a:off x="3101341" y="3484932"/>
            <a:ext cx="919905" cy="1463586"/>
          </a:xfrm>
          <a:prstGeom prst="line">
            <a:avLst/>
          </a:prstGeom>
          <a:ln>
            <a:solidFill>
              <a:srgbClr val="00B05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6" name="Straight Connector 85">
            <a:extLst>
              <a:ext uri="{FF2B5EF4-FFF2-40B4-BE49-F238E27FC236}">
                <a16:creationId xmlns:a16="http://schemas.microsoft.com/office/drawing/2014/main" id="{00000000-0008-0000-0500-000056000000}"/>
              </a:ext>
            </a:extLst>
          </xdr:cNvPr>
          <xdr:cNvCxnSpPr/>
        </xdr:nvCxnSpPr>
        <xdr:spPr>
          <a:xfrm flipH="1">
            <a:off x="3637639" y="3478979"/>
            <a:ext cx="380758" cy="1570224"/>
          </a:xfrm>
          <a:prstGeom prst="line">
            <a:avLst/>
          </a:prstGeom>
          <a:ln>
            <a:solidFill>
              <a:srgbClr val="7030A0"/>
            </a:solidFill>
          </a:ln>
        </xdr:spPr>
        <xdr:style>
          <a:lnRef idx="1">
            <a:schemeClr val="accent6"/>
          </a:lnRef>
          <a:fillRef idx="0">
            <a:schemeClr val="accent6"/>
          </a:fillRef>
          <a:effectRef idx="0">
            <a:schemeClr val="accent6"/>
          </a:effectRef>
          <a:fontRef idx="minor">
            <a:schemeClr val="tx1"/>
          </a:fontRef>
        </xdr:style>
      </xdr:cxnSp>
      <xdr:cxnSp macro="">
        <xdr:nvCxnSpPr>
          <xdr:cNvPr id="87" name="Straight Arrow Connector 86">
            <a:extLst>
              <a:ext uri="{FF2B5EF4-FFF2-40B4-BE49-F238E27FC236}">
                <a16:creationId xmlns:a16="http://schemas.microsoft.com/office/drawing/2014/main" id="{00000000-0008-0000-0500-000057000000}"/>
              </a:ext>
            </a:extLst>
          </xdr:cNvPr>
          <xdr:cNvCxnSpPr/>
        </xdr:nvCxnSpPr>
        <xdr:spPr>
          <a:xfrm>
            <a:off x="3099906" y="4450375"/>
            <a:ext cx="0" cy="1263253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8" name="TextBox 23">
            <a:extLst>
              <a:ext uri="{FF2B5EF4-FFF2-40B4-BE49-F238E27FC236}">
                <a16:creationId xmlns:a16="http://schemas.microsoft.com/office/drawing/2014/main" id="{00000000-0008-0000-0500-000058000000}"/>
              </a:ext>
            </a:extLst>
          </xdr:cNvPr>
          <xdr:cNvSpPr txBox="1"/>
        </xdr:nvSpPr>
        <xdr:spPr>
          <a:xfrm>
            <a:off x="3114505" y="5506523"/>
            <a:ext cx="2190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0">
                <a:solidFill>
                  <a:schemeClr val="accent1"/>
                </a:solidFill>
              </a:rPr>
              <a:t>z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526676</xdr:colOff>
      <xdr:row>2</xdr:row>
      <xdr:rowOff>168089</xdr:rowOff>
    </xdr:from>
    <xdr:to>
      <xdr:col>19</xdr:col>
      <xdr:colOff>46229</xdr:colOff>
      <xdr:row>11</xdr:row>
      <xdr:rowOff>156882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49235" y="582707"/>
          <a:ext cx="4360494" cy="2005851"/>
        </a:xfrm>
        <a:prstGeom prst="rect">
          <a:avLst/>
        </a:prstGeom>
      </xdr:spPr>
    </xdr:pic>
    <xdr:clientData/>
  </xdr:twoCellAnchor>
  <xdr:twoCellAnchor>
    <xdr:from>
      <xdr:col>7</xdr:col>
      <xdr:colOff>495300</xdr:colOff>
      <xdr:row>26</xdr:row>
      <xdr:rowOff>38100</xdr:rowOff>
    </xdr:from>
    <xdr:to>
      <xdr:col>19</xdr:col>
      <xdr:colOff>523875</xdr:colOff>
      <xdr:row>53</xdr:row>
      <xdr:rowOff>95250</xdr:rowOff>
    </xdr:to>
    <xdr:pic>
      <xdr:nvPicPr>
        <xdr:cNvPr id="15" name="Picture 2" descr="image00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5638800"/>
          <a:ext cx="7343775" cy="520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438979</xdr:colOff>
      <xdr:row>2</xdr:row>
      <xdr:rowOff>223631</xdr:rowOff>
    </xdr:from>
    <xdr:to>
      <xdr:col>10</xdr:col>
      <xdr:colOff>579783</xdr:colOff>
      <xdr:row>11</xdr:row>
      <xdr:rowOff>27857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54218" y="646044"/>
          <a:ext cx="3205369" cy="18914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229781</xdr:colOff>
      <xdr:row>37</xdr:row>
      <xdr:rowOff>175890</xdr:rowOff>
    </xdr:from>
    <xdr:to>
      <xdr:col>27</xdr:col>
      <xdr:colOff>213845</xdr:colOff>
      <xdr:row>61</xdr:row>
      <xdr:rowOff>104235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91575" y="6955449"/>
          <a:ext cx="7850594" cy="4500345"/>
        </a:xfrm>
        <a:prstGeom prst="rect">
          <a:avLst/>
        </a:prstGeom>
      </xdr:spPr>
    </xdr:pic>
    <xdr:clientData/>
  </xdr:twoCellAnchor>
  <xdr:twoCellAnchor editAs="oneCell">
    <xdr:from>
      <xdr:col>19</xdr:col>
      <xdr:colOff>193606</xdr:colOff>
      <xdr:row>1</xdr:row>
      <xdr:rowOff>120098</xdr:rowOff>
    </xdr:from>
    <xdr:to>
      <xdr:col>31</xdr:col>
      <xdr:colOff>74759</xdr:colOff>
      <xdr:row>30</xdr:row>
      <xdr:rowOff>150843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8867" y="310598"/>
          <a:ext cx="7236109" cy="580372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315506</xdr:colOff>
      <xdr:row>32</xdr:row>
      <xdr:rowOff>166365</xdr:rowOff>
    </xdr:from>
    <xdr:to>
      <xdr:col>25</xdr:col>
      <xdr:colOff>299570</xdr:colOff>
      <xdr:row>56</xdr:row>
      <xdr:rowOff>56610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26481" y="6452865"/>
          <a:ext cx="7908864" cy="4500345"/>
        </a:xfrm>
        <a:prstGeom prst="rect">
          <a:avLst/>
        </a:prstGeom>
      </xdr:spPr>
    </xdr:pic>
    <xdr:clientData/>
  </xdr:twoCellAnchor>
  <xdr:twoCellAnchor editAs="oneCell">
    <xdr:from>
      <xdr:col>12</xdr:col>
      <xdr:colOff>269806</xdr:colOff>
      <xdr:row>1</xdr:row>
      <xdr:rowOff>15323</xdr:rowOff>
    </xdr:from>
    <xdr:to>
      <xdr:col>24</xdr:col>
      <xdr:colOff>150959</xdr:colOff>
      <xdr:row>30</xdr:row>
      <xdr:rowOff>42755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80781" y="205823"/>
          <a:ext cx="7196353" cy="5742432"/>
        </a:xfrm>
        <a:prstGeom prst="rect">
          <a:avLst/>
        </a:prstGeom>
      </xdr:spPr>
    </xdr:pic>
    <xdr:clientData/>
  </xdr:twoCellAnchor>
  <xdr:twoCellAnchor>
    <xdr:from>
      <xdr:col>21</xdr:col>
      <xdr:colOff>403411</xdr:colOff>
      <xdr:row>58</xdr:row>
      <xdr:rowOff>100853</xdr:rowOff>
    </xdr:from>
    <xdr:to>
      <xdr:col>24</xdr:col>
      <xdr:colOff>593911</xdr:colOff>
      <xdr:row>58</xdr:row>
      <xdr:rowOff>112059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CxnSpPr/>
      </xdr:nvCxnSpPr>
      <xdr:spPr>
        <a:xfrm flipV="1">
          <a:off x="17500786" y="11492753"/>
          <a:ext cx="2019300" cy="11206"/>
        </a:xfrm>
        <a:prstGeom prst="straightConnector1">
          <a:avLst/>
        </a:prstGeom>
        <a:ln>
          <a:solidFill>
            <a:schemeClr val="bg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212911</xdr:colOff>
      <xdr:row>58</xdr:row>
      <xdr:rowOff>100853</xdr:rowOff>
    </xdr:from>
    <xdr:to>
      <xdr:col>21</xdr:col>
      <xdr:colOff>403411</xdr:colOff>
      <xdr:row>58</xdr:row>
      <xdr:rowOff>112059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CxnSpPr/>
      </xdr:nvCxnSpPr>
      <xdr:spPr>
        <a:xfrm flipV="1">
          <a:off x="15481486" y="11492753"/>
          <a:ext cx="2019300" cy="11206"/>
        </a:xfrm>
        <a:prstGeom prst="straightConnector1">
          <a:avLst/>
        </a:prstGeom>
        <a:ln>
          <a:solidFill>
            <a:schemeClr val="bg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34</xdr:row>
      <xdr:rowOff>57150</xdr:rowOff>
    </xdr:from>
    <xdr:to>
      <xdr:col>7</xdr:col>
      <xdr:colOff>180975</xdr:colOff>
      <xdr:row>49</xdr:row>
      <xdr:rowOff>171450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B00-000027000000}"/>
            </a:ext>
          </a:extLst>
        </xdr:cNvPr>
        <xdr:cNvGrpSpPr/>
      </xdr:nvGrpSpPr>
      <xdr:grpSpPr>
        <a:xfrm>
          <a:off x="3590925" y="7105650"/>
          <a:ext cx="3048000" cy="2971800"/>
          <a:chOff x="2072858" y="1826613"/>
          <a:chExt cx="3048000" cy="2971800"/>
        </a:xfrm>
      </xdr:grpSpPr>
      <xdr:sp macro="" textlink="">
        <xdr:nvSpPr>
          <xdr:cNvPr id="40" name="Flowchart: Alternate Process 39">
            <a:extLst>
              <a:ext uri="{FF2B5EF4-FFF2-40B4-BE49-F238E27FC236}">
                <a16:creationId xmlns:a16="http://schemas.microsoft.com/office/drawing/2014/main" id="{00000000-0008-0000-0B00-000028000000}"/>
              </a:ext>
            </a:extLst>
          </xdr:cNvPr>
          <xdr:cNvSpPr/>
        </xdr:nvSpPr>
        <xdr:spPr>
          <a:xfrm>
            <a:off x="2072858" y="1826613"/>
            <a:ext cx="3048000" cy="2971800"/>
          </a:xfrm>
          <a:prstGeom prst="flowChartAlternateProcess">
            <a:avLst/>
          </a:prstGeom>
          <a:solidFill>
            <a:schemeClr val="bg1">
              <a:lumMod val="6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grpSp>
        <xdr:nvGrpSpPr>
          <xdr:cNvPr id="41" name="Group 40">
            <a:extLst>
              <a:ext uri="{FF2B5EF4-FFF2-40B4-BE49-F238E27FC236}">
                <a16:creationId xmlns:a16="http://schemas.microsoft.com/office/drawing/2014/main" id="{00000000-0008-0000-0B00-000029000000}"/>
              </a:ext>
            </a:extLst>
          </xdr:cNvPr>
          <xdr:cNvGrpSpPr/>
        </xdr:nvGrpSpPr>
        <xdr:grpSpPr>
          <a:xfrm>
            <a:off x="2536997" y="2254670"/>
            <a:ext cx="2142358" cy="2093440"/>
            <a:chOff x="2562226" y="2598419"/>
            <a:chExt cx="1793555" cy="1752602"/>
          </a:xfrm>
        </xdr:grpSpPr>
        <xdr:grpSp>
          <xdr:nvGrpSpPr>
            <xdr:cNvPr id="63" name="Group 62">
              <a:extLst>
                <a:ext uri="{FF2B5EF4-FFF2-40B4-BE49-F238E27FC236}">
                  <a16:creationId xmlns:a16="http://schemas.microsoft.com/office/drawing/2014/main" id="{00000000-0008-0000-0B00-00003F000000}"/>
                </a:ext>
              </a:extLst>
            </xdr:cNvPr>
            <xdr:cNvGrpSpPr/>
          </xdr:nvGrpSpPr>
          <xdr:grpSpPr>
            <a:xfrm rot="10800000">
              <a:off x="2562226" y="2598419"/>
              <a:ext cx="1689733" cy="1752602"/>
              <a:chOff x="2590798" y="3124199"/>
              <a:chExt cx="4091725" cy="2819401"/>
            </a:xfrm>
          </xdr:grpSpPr>
          <xdr:cxnSp macro="">
            <xdr:nvCxnSpPr>
              <xdr:cNvPr id="68" name="Straight Connector 67">
                <a:extLst>
                  <a:ext uri="{FF2B5EF4-FFF2-40B4-BE49-F238E27FC236}">
                    <a16:creationId xmlns:a16="http://schemas.microsoft.com/office/drawing/2014/main" id="{00000000-0008-0000-0B00-000044000000}"/>
                  </a:ext>
                </a:extLst>
              </xdr:cNvPr>
              <xdr:cNvCxnSpPr/>
            </xdr:nvCxnSpPr>
            <xdr:spPr>
              <a:xfrm rot="10800000" flipH="1" flipV="1">
                <a:off x="3047999" y="3124199"/>
                <a:ext cx="2971800" cy="381000"/>
              </a:xfrm>
              <a:prstGeom prst="line">
                <a:avLst/>
              </a:prstGeom>
              <a:ln>
                <a:solidFill>
                  <a:schemeClr val="bg1"/>
                </a:solidFill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69" name="Straight Connector 68">
                <a:extLst>
                  <a:ext uri="{FF2B5EF4-FFF2-40B4-BE49-F238E27FC236}">
                    <a16:creationId xmlns:a16="http://schemas.microsoft.com/office/drawing/2014/main" id="{00000000-0008-0000-0B00-000045000000}"/>
                  </a:ext>
                </a:extLst>
              </xdr:cNvPr>
              <xdr:cNvCxnSpPr/>
            </xdr:nvCxnSpPr>
            <xdr:spPr>
              <a:xfrm rot="10800000" flipH="1" flipV="1">
                <a:off x="6019797" y="3505196"/>
                <a:ext cx="656960" cy="1826253"/>
              </a:xfrm>
              <a:prstGeom prst="line">
                <a:avLst/>
              </a:prstGeom>
              <a:ln>
                <a:solidFill>
                  <a:schemeClr val="bg1"/>
                </a:solidFill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70" name="Straight Connector 69">
                <a:extLst>
                  <a:ext uri="{FF2B5EF4-FFF2-40B4-BE49-F238E27FC236}">
                    <a16:creationId xmlns:a16="http://schemas.microsoft.com/office/drawing/2014/main" id="{00000000-0008-0000-0B00-000046000000}"/>
                  </a:ext>
                </a:extLst>
              </xdr:cNvPr>
              <xdr:cNvCxnSpPr/>
            </xdr:nvCxnSpPr>
            <xdr:spPr>
              <a:xfrm rot="10800000" flipV="1">
                <a:off x="2590800" y="5323789"/>
                <a:ext cx="4091723" cy="619809"/>
              </a:xfrm>
              <a:prstGeom prst="line">
                <a:avLst/>
              </a:prstGeom>
              <a:ln>
                <a:solidFill>
                  <a:schemeClr val="bg1"/>
                </a:solidFill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71" name="Straight Connector 70">
                <a:extLst>
                  <a:ext uri="{FF2B5EF4-FFF2-40B4-BE49-F238E27FC236}">
                    <a16:creationId xmlns:a16="http://schemas.microsoft.com/office/drawing/2014/main" id="{00000000-0008-0000-0B00-000047000000}"/>
                  </a:ext>
                </a:extLst>
              </xdr:cNvPr>
              <xdr:cNvCxnSpPr/>
            </xdr:nvCxnSpPr>
            <xdr:spPr>
              <a:xfrm rot="10800000" flipH="1">
                <a:off x="2590798" y="3124200"/>
                <a:ext cx="457199" cy="2819400"/>
              </a:xfrm>
              <a:prstGeom prst="line">
                <a:avLst/>
              </a:prstGeom>
              <a:ln>
                <a:solidFill>
                  <a:schemeClr val="bg1"/>
                </a:solidFill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64" name="Rectangle 63">
              <a:extLst>
                <a:ext uri="{FF2B5EF4-FFF2-40B4-BE49-F238E27FC236}">
                  <a16:creationId xmlns:a16="http://schemas.microsoft.com/office/drawing/2014/main" id="{00000000-0008-0000-0B00-000040000000}"/>
                </a:ext>
              </a:extLst>
            </xdr:cNvPr>
            <xdr:cNvSpPr/>
          </xdr:nvSpPr>
          <xdr:spPr>
            <a:xfrm rot="4634191">
              <a:off x="2861243" y="2614970"/>
              <a:ext cx="981834" cy="1384746"/>
            </a:xfrm>
            <a:prstGeom prst="rect">
              <a:avLst/>
            </a:prstGeom>
            <a:solidFill>
              <a:schemeClr val="bg1">
                <a:alpha val="27059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GB"/>
            </a:p>
          </xdr:txBody>
        </xdr:sp>
        <xdr:sp macro="" textlink="">
          <xdr:nvSpPr>
            <xdr:cNvPr id="65" name="Isosceles Triangle 64">
              <a:extLst>
                <a:ext uri="{FF2B5EF4-FFF2-40B4-BE49-F238E27FC236}">
                  <a16:creationId xmlns:a16="http://schemas.microsoft.com/office/drawing/2014/main" id="{00000000-0008-0000-0B00-000041000000}"/>
                </a:ext>
              </a:extLst>
            </xdr:cNvPr>
            <xdr:cNvSpPr/>
          </xdr:nvSpPr>
          <xdr:spPr>
            <a:xfrm rot="10106290">
              <a:off x="4014281" y="2629960"/>
              <a:ext cx="341500" cy="988535"/>
            </a:xfrm>
            <a:prstGeom prst="triangle">
              <a:avLst>
                <a:gd name="adj" fmla="val 94287"/>
              </a:avLst>
            </a:prstGeom>
            <a:solidFill>
              <a:schemeClr val="bg1">
                <a:alpha val="27059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GB"/>
            </a:p>
          </xdr:txBody>
        </xdr:sp>
        <xdr:sp macro="" textlink="">
          <xdr:nvSpPr>
            <xdr:cNvPr id="66" name="Isosceles Triangle 65">
              <a:extLst>
                <a:ext uri="{FF2B5EF4-FFF2-40B4-BE49-F238E27FC236}">
                  <a16:creationId xmlns:a16="http://schemas.microsoft.com/office/drawing/2014/main" id="{00000000-0008-0000-0B00-000042000000}"/>
                </a:ext>
              </a:extLst>
            </xdr:cNvPr>
            <xdr:cNvSpPr/>
          </xdr:nvSpPr>
          <xdr:spPr>
            <a:xfrm rot="16608172">
              <a:off x="3123051" y="3290692"/>
              <a:ext cx="717795" cy="1247153"/>
            </a:xfrm>
            <a:prstGeom prst="triangle">
              <a:avLst>
                <a:gd name="adj" fmla="val 11150"/>
              </a:avLst>
            </a:prstGeom>
            <a:solidFill>
              <a:schemeClr val="bg1">
                <a:alpha val="27059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GB"/>
            </a:p>
          </xdr:txBody>
        </xdr:sp>
        <xdr:sp macro="" textlink="">
          <xdr:nvSpPr>
            <xdr:cNvPr id="67" name="Isosceles Triangle 66">
              <a:extLst>
                <a:ext uri="{FF2B5EF4-FFF2-40B4-BE49-F238E27FC236}">
                  <a16:creationId xmlns:a16="http://schemas.microsoft.com/office/drawing/2014/main" id="{00000000-0008-0000-0B00-000043000000}"/>
                </a:ext>
              </a:extLst>
            </xdr:cNvPr>
            <xdr:cNvSpPr/>
          </xdr:nvSpPr>
          <xdr:spPr>
            <a:xfrm rot="4345476">
              <a:off x="3386313" y="3124511"/>
              <a:ext cx="183805" cy="1384022"/>
            </a:xfrm>
            <a:prstGeom prst="triangle">
              <a:avLst>
                <a:gd name="adj" fmla="val 63429"/>
              </a:avLst>
            </a:prstGeom>
            <a:solidFill>
              <a:schemeClr val="bg1">
                <a:alpha val="27059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GB"/>
            </a:p>
          </xdr:txBody>
        </xdr:sp>
      </xdr:grpSp>
      <xdr:cxnSp macro="">
        <xdr:nvCxnSpPr>
          <xdr:cNvPr id="42" name="Straight Arrow Connector 41">
            <a:extLst>
              <a:ext uri="{FF2B5EF4-FFF2-40B4-BE49-F238E27FC236}">
                <a16:creationId xmlns:a16="http://schemas.microsoft.com/office/drawing/2014/main" id="{00000000-0008-0000-0B00-00002A000000}"/>
              </a:ext>
            </a:extLst>
          </xdr:cNvPr>
          <xdr:cNvCxnSpPr>
            <a:endCxn id="65" idx="2"/>
          </xdr:cNvCxnSpPr>
        </xdr:nvCxnSpPr>
        <xdr:spPr>
          <a:xfrm flipV="1">
            <a:off x="2863900" y="2263447"/>
            <a:ext cx="1692987" cy="1793981"/>
          </a:xfrm>
          <a:prstGeom prst="straightConnector1">
            <a:avLst/>
          </a:prstGeom>
          <a:ln>
            <a:solidFill>
              <a:schemeClr val="bg1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3" name="TextBox 20">
            <a:extLst>
              <a:ext uri="{FF2B5EF4-FFF2-40B4-BE49-F238E27FC236}">
                <a16:creationId xmlns:a16="http://schemas.microsoft.com/office/drawing/2014/main" id="{00000000-0008-0000-0B00-00002B000000}"/>
              </a:ext>
            </a:extLst>
          </xdr:cNvPr>
          <xdr:cNvSpPr txBox="1"/>
        </xdr:nvSpPr>
        <xdr:spPr>
          <a:xfrm>
            <a:off x="2853027" y="2912902"/>
            <a:ext cx="349063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900" b="1">
                <a:solidFill>
                  <a:schemeClr val="bg1"/>
                </a:solidFill>
              </a:rPr>
              <a:t>D2</a:t>
            </a:r>
          </a:p>
        </xdr:txBody>
      </xdr:sp>
      <xdr:sp macro="" textlink="">
        <xdr:nvSpPr>
          <xdr:cNvPr id="44" name="TextBox 55">
            <a:extLst>
              <a:ext uri="{FF2B5EF4-FFF2-40B4-BE49-F238E27FC236}">
                <a16:creationId xmlns:a16="http://schemas.microsoft.com/office/drawing/2014/main" id="{00000000-0008-0000-0B00-00002C000000}"/>
              </a:ext>
            </a:extLst>
          </xdr:cNvPr>
          <xdr:cNvSpPr txBox="1"/>
        </xdr:nvSpPr>
        <xdr:spPr>
          <a:xfrm>
            <a:off x="3934043" y="2456916"/>
            <a:ext cx="349063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900" b="1">
                <a:solidFill>
                  <a:schemeClr val="bg1"/>
                </a:solidFill>
              </a:rPr>
              <a:t>D1</a:t>
            </a:r>
          </a:p>
        </xdr:txBody>
      </xdr:sp>
      <xdr:cxnSp macro="">
        <xdr:nvCxnSpPr>
          <xdr:cNvPr id="45" name="Straight Connector 44">
            <a:extLst>
              <a:ext uri="{FF2B5EF4-FFF2-40B4-BE49-F238E27FC236}">
                <a16:creationId xmlns:a16="http://schemas.microsoft.com/office/drawing/2014/main" id="{00000000-0008-0000-0B00-00002D000000}"/>
              </a:ext>
            </a:extLst>
          </xdr:cNvPr>
          <xdr:cNvCxnSpPr/>
        </xdr:nvCxnSpPr>
        <xdr:spPr>
          <a:xfrm flipH="1" flipV="1">
            <a:off x="4327581" y="4346677"/>
            <a:ext cx="69794" cy="69749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6" name="Straight Connector 45">
            <a:extLst>
              <a:ext uri="{FF2B5EF4-FFF2-40B4-BE49-F238E27FC236}">
                <a16:creationId xmlns:a16="http://schemas.microsoft.com/office/drawing/2014/main" id="{00000000-0008-0000-0B00-00002E000000}"/>
              </a:ext>
            </a:extLst>
          </xdr:cNvPr>
          <xdr:cNvCxnSpPr/>
        </xdr:nvCxnSpPr>
        <xdr:spPr>
          <a:xfrm>
            <a:off x="2444530" y="2623749"/>
            <a:ext cx="95470" cy="90876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7" name="Straight Arrow Connector 46">
            <a:extLst>
              <a:ext uri="{FF2B5EF4-FFF2-40B4-BE49-F238E27FC236}">
                <a16:creationId xmlns:a16="http://schemas.microsoft.com/office/drawing/2014/main" id="{00000000-0008-0000-0B00-00002F000000}"/>
              </a:ext>
            </a:extLst>
          </xdr:cNvPr>
          <xdr:cNvCxnSpPr>
            <a:endCxn id="66" idx="2"/>
          </xdr:cNvCxnSpPr>
        </xdr:nvCxnSpPr>
        <xdr:spPr>
          <a:xfrm>
            <a:off x="2536996" y="2709198"/>
            <a:ext cx="1787410" cy="1631128"/>
          </a:xfrm>
          <a:prstGeom prst="straightConnector1">
            <a:avLst/>
          </a:prstGeom>
          <a:ln>
            <a:solidFill>
              <a:schemeClr val="bg1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" name="Straight Connector 47">
            <a:extLst>
              <a:ext uri="{FF2B5EF4-FFF2-40B4-BE49-F238E27FC236}">
                <a16:creationId xmlns:a16="http://schemas.microsoft.com/office/drawing/2014/main" id="{00000000-0008-0000-0B00-000030000000}"/>
              </a:ext>
            </a:extLst>
          </xdr:cNvPr>
          <xdr:cNvCxnSpPr/>
        </xdr:nvCxnSpPr>
        <xdr:spPr>
          <a:xfrm flipV="1">
            <a:off x="4558000" y="2170114"/>
            <a:ext cx="79087" cy="84016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9" name="Straight Connector 48">
            <a:extLst>
              <a:ext uri="{FF2B5EF4-FFF2-40B4-BE49-F238E27FC236}">
                <a16:creationId xmlns:a16="http://schemas.microsoft.com/office/drawing/2014/main" id="{00000000-0008-0000-0B00-000031000000}"/>
              </a:ext>
            </a:extLst>
          </xdr:cNvPr>
          <xdr:cNvCxnSpPr/>
        </xdr:nvCxnSpPr>
        <xdr:spPr>
          <a:xfrm flipV="1">
            <a:off x="2757488" y="4057651"/>
            <a:ext cx="101020" cy="116681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0" name="Straight Connector 49">
            <a:extLst>
              <a:ext uri="{FF2B5EF4-FFF2-40B4-BE49-F238E27FC236}">
                <a16:creationId xmlns:a16="http://schemas.microsoft.com/office/drawing/2014/main" id="{00000000-0008-0000-0B00-000032000000}"/>
              </a:ext>
            </a:extLst>
          </xdr:cNvPr>
          <xdr:cNvCxnSpPr/>
        </xdr:nvCxnSpPr>
        <xdr:spPr>
          <a:xfrm>
            <a:off x="2444530" y="2623749"/>
            <a:ext cx="312958" cy="1550582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1" name="Straight Connector 50">
            <a:extLst>
              <a:ext uri="{FF2B5EF4-FFF2-40B4-BE49-F238E27FC236}">
                <a16:creationId xmlns:a16="http://schemas.microsoft.com/office/drawing/2014/main" id="{00000000-0008-0000-0B00-000033000000}"/>
              </a:ext>
            </a:extLst>
          </xdr:cNvPr>
          <xdr:cNvCxnSpPr/>
        </xdr:nvCxnSpPr>
        <xdr:spPr>
          <a:xfrm flipV="1">
            <a:off x="2448873" y="2168639"/>
            <a:ext cx="2198934" cy="455111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2" name="Straight Connector 51">
            <a:extLst>
              <a:ext uri="{FF2B5EF4-FFF2-40B4-BE49-F238E27FC236}">
                <a16:creationId xmlns:a16="http://schemas.microsoft.com/office/drawing/2014/main" id="{00000000-0008-0000-0B00-000034000000}"/>
              </a:ext>
            </a:extLst>
          </xdr:cNvPr>
          <xdr:cNvCxnSpPr/>
        </xdr:nvCxnSpPr>
        <xdr:spPr>
          <a:xfrm flipH="1">
            <a:off x="4406902" y="2161377"/>
            <a:ext cx="244475" cy="2271129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3" name="Straight Connector 52">
            <a:extLst>
              <a:ext uri="{FF2B5EF4-FFF2-40B4-BE49-F238E27FC236}">
                <a16:creationId xmlns:a16="http://schemas.microsoft.com/office/drawing/2014/main" id="{00000000-0008-0000-0B00-000035000000}"/>
              </a:ext>
            </a:extLst>
          </xdr:cNvPr>
          <xdr:cNvCxnSpPr/>
        </xdr:nvCxnSpPr>
        <xdr:spPr>
          <a:xfrm flipH="1" flipV="1">
            <a:off x="2757489" y="4174332"/>
            <a:ext cx="1647866" cy="257181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4" name="TextBox 77">
            <a:extLst>
              <a:ext uri="{FF2B5EF4-FFF2-40B4-BE49-F238E27FC236}">
                <a16:creationId xmlns:a16="http://schemas.microsoft.com/office/drawing/2014/main" id="{00000000-0008-0000-0B00-000036000000}"/>
              </a:ext>
            </a:extLst>
          </xdr:cNvPr>
          <xdr:cNvSpPr txBox="1"/>
        </xdr:nvSpPr>
        <xdr:spPr>
          <a:xfrm>
            <a:off x="3256169" y="3264227"/>
            <a:ext cx="349063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900" b="1">
                <a:solidFill>
                  <a:schemeClr val="bg1"/>
                </a:solidFill>
              </a:rPr>
              <a:t>O</a:t>
            </a:r>
          </a:p>
        </xdr:txBody>
      </xdr:sp>
      <xdr:sp macro="" textlink="">
        <xdr:nvSpPr>
          <xdr:cNvPr id="55" name="TextBox 78">
            <a:extLst>
              <a:ext uri="{FF2B5EF4-FFF2-40B4-BE49-F238E27FC236}">
                <a16:creationId xmlns:a16="http://schemas.microsoft.com/office/drawing/2014/main" id="{00000000-0008-0000-0B00-000037000000}"/>
              </a:ext>
            </a:extLst>
          </xdr:cNvPr>
          <xdr:cNvSpPr txBox="1"/>
        </xdr:nvSpPr>
        <xdr:spPr>
          <a:xfrm>
            <a:off x="2567147" y="2670423"/>
            <a:ext cx="349063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700" b="1">
                <a:solidFill>
                  <a:schemeClr val="bg1"/>
                </a:solidFill>
              </a:rPr>
              <a:t>B’</a:t>
            </a:r>
          </a:p>
        </xdr:txBody>
      </xdr:sp>
      <xdr:sp macro="" textlink="">
        <xdr:nvSpPr>
          <xdr:cNvPr id="56" name="TextBox 79">
            <a:extLst>
              <a:ext uri="{FF2B5EF4-FFF2-40B4-BE49-F238E27FC236}">
                <a16:creationId xmlns:a16="http://schemas.microsoft.com/office/drawing/2014/main" id="{00000000-0008-0000-0B00-000038000000}"/>
              </a:ext>
            </a:extLst>
          </xdr:cNvPr>
          <xdr:cNvSpPr txBox="1"/>
        </xdr:nvSpPr>
        <xdr:spPr>
          <a:xfrm>
            <a:off x="2238827" y="2466580"/>
            <a:ext cx="349063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700" b="1"/>
              <a:t>B</a:t>
            </a:r>
            <a:r>
              <a:rPr lang="en-GB" sz="700" b="1" baseline="-25000"/>
              <a:t>1</a:t>
            </a:r>
            <a:endParaRPr lang="en-GB" sz="700" b="1"/>
          </a:p>
        </xdr:txBody>
      </xdr:sp>
      <xdr:sp macro="" textlink="">
        <xdr:nvSpPr>
          <xdr:cNvPr id="57" name="TextBox 80">
            <a:extLst>
              <a:ext uri="{FF2B5EF4-FFF2-40B4-BE49-F238E27FC236}">
                <a16:creationId xmlns:a16="http://schemas.microsoft.com/office/drawing/2014/main" id="{00000000-0008-0000-0B00-000039000000}"/>
              </a:ext>
            </a:extLst>
          </xdr:cNvPr>
          <xdr:cNvSpPr txBox="1"/>
        </xdr:nvSpPr>
        <xdr:spPr>
          <a:xfrm>
            <a:off x="4253103" y="2259974"/>
            <a:ext cx="349063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700" b="1">
                <a:solidFill>
                  <a:schemeClr val="bg1"/>
                </a:solidFill>
              </a:rPr>
              <a:t>C’</a:t>
            </a:r>
          </a:p>
        </xdr:txBody>
      </xdr:sp>
      <xdr:sp macro="" textlink="">
        <xdr:nvSpPr>
          <xdr:cNvPr id="58" name="TextBox 81">
            <a:extLst>
              <a:ext uri="{FF2B5EF4-FFF2-40B4-BE49-F238E27FC236}">
                <a16:creationId xmlns:a16="http://schemas.microsoft.com/office/drawing/2014/main" id="{00000000-0008-0000-0B00-00003A000000}"/>
              </a:ext>
            </a:extLst>
          </xdr:cNvPr>
          <xdr:cNvSpPr txBox="1"/>
        </xdr:nvSpPr>
        <xdr:spPr>
          <a:xfrm>
            <a:off x="4555341" y="2012576"/>
            <a:ext cx="349063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700" b="1"/>
              <a:t>C</a:t>
            </a:r>
            <a:r>
              <a:rPr lang="en-GB" sz="700" b="1" baseline="-25000"/>
              <a:t>1</a:t>
            </a:r>
            <a:endParaRPr lang="en-GB" sz="700" b="1"/>
          </a:p>
        </xdr:txBody>
      </xdr:sp>
      <xdr:sp macro="" textlink="">
        <xdr:nvSpPr>
          <xdr:cNvPr id="59" name="TextBox 82">
            <a:extLst>
              <a:ext uri="{FF2B5EF4-FFF2-40B4-BE49-F238E27FC236}">
                <a16:creationId xmlns:a16="http://schemas.microsoft.com/office/drawing/2014/main" id="{00000000-0008-0000-0B00-00003B000000}"/>
              </a:ext>
            </a:extLst>
          </xdr:cNvPr>
          <xdr:cNvSpPr txBox="1"/>
        </xdr:nvSpPr>
        <xdr:spPr>
          <a:xfrm>
            <a:off x="4133960" y="4064801"/>
            <a:ext cx="349063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700" b="1">
                <a:solidFill>
                  <a:schemeClr val="bg1"/>
                </a:solidFill>
              </a:rPr>
              <a:t>D’</a:t>
            </a:r>
          </a:p>
        </xdr:txBody>
      </xdr:sp>
      <xdr:sp macro="" textlink="">
        <xdr:nvSpPr>
          <xdr:cNvPr id="60" name="TextBox 83">
            <a:extLst>
              <a:ext uri="{FF2B5EF4-FFF2-40B4-BE49-F238E27FC236}">
                <a16:creationId xmlns:a16="http://schemas.microsoft.com/office/drawing/2014/main" id="{00000000-0008-0000-0B00-00003C000000}"/>
              </a:ext>
            </a:extLst>
          </xdr:cNvPr>
          <xdr:cNvSpPr txBox="1"/>
        </xdr:nvSpPr>
        <xdr:spPr>
          <a:xfrm>
            <a:off x="4328392" y="4397107"/>
            <a:ext cx="349063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700" b="1"/>
              <a:t>D</a:t>
            </a:r>
            <a:r>
              <a:rPr lang="en-GB" sz="700" b="1" baseline="-25000"/>
              <a:t>1</a:t>
            </a:r>
            <a:endParaRPr lang="en-GB" sz="700" b="1"/>
          </a:p>
        </xdr:txBody>
      </xdr:sp>
      <xdr:sp macro="" textlink="">
        <xdr:nvSpPr>
          <xdr:cNvPr id="61" name="TextBox 84">
            <a:extLst>
              <a:ext uri="{FF2B5EF4-FFF2-40B4-BE49-F238E27FC236}">
                <a16:creationId xmlns:a16="http://schemas.microsoft.com/office/drawing/2014/main" id="{00000000-0008-0000-0B00-00003D000000}"/>
              </a:ext>
            </a:extLst>
          </xdr:cNvPr>
          <xdr:cNvSpPr txBox="1"/>
        </xdr:nvSpPr>
        <xdr:spPr>
          <a:xfrm>
            <a:off x="2901624" y="3902747"/>
            <a:ext cx="349063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700" b="1">
                <a:solidFill>
                  <a:schemeClr val="bg1"/>
                </a:solidFill>
              </a:rPr>
              <a:t>A’</a:t>
            </a:r>
          </a:p>
        </xdr:txBody>
      </xdr:sp>
      <xdr:sp macro="" textlink="">
        <xdr:nvSpPr>
          <xdr:cNvPr id="62" name="TextBox 85">
            <a:extLst>
              <a:ext uri="{FF2B5EF4-FFF2-40B4-BE49-F238E27FC236}">
                <a16:creationId xmlns:a16="http://schemas.microsoft.com/office/drawing/2014/main" id="{00000000-0008-0000-0B00-00003E000000}"/>
              </a:ext>
            </a:extLst>
          </xdr:cNvPr>
          <xdr:cNvSpPr txBox="1"/>
        </xdr:nvSpPr>
        <xdr:spPr>
          <a:xfrm>
            <a:off x="2580941" y="4167192"/>
            <a:ext cx="349063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700" b="1"/>
              <a:t>A</a:t>
            </a:r>
            <a:r>
              <a:rPr lang="en-GB" sz="700" b="1" baseline="-25000"/>
              <a:t>1</a:t>
            </a:r>
            <a:endParaRPr lang="en-GB" sz="700" b="1"/>
          </a:p>
        </xdr:txBody>
      </xdr:sp>
    </xdr:grpSp>
    <xdr:clientData/>
  </xdr:twoCellAnchor>
  <xdr:twoCellAnchor editAs="oneCell">
    <xdr:from>
      <xdr:col>17</xdr:col>
      <xdr:colOff>19050</xdr:colOff>
      <xdr:row>2</xdr:row>
      <xdr:rowOff>95250</xdr:rowOff>
    </xdr:from>
    <xdr:to>
      <xdr:col>19</xdr:col>
      <xdr:colOff>352231</xdr:colOff>
      <xdr:row>3</xdr:row>
      <xdr:rowOff>180939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00" y="476250"/>
          <a:ext cx="1552381" cy="285714"/>
        </a:xfrm>
        <a:prstGeom prst="rect">
          <a:avLst/>
        </a:prstGeom>
      </xdr:spPr>
    </xdr:pic>
    <xdr:clientData/>
  </xdr:twoCellAnchor>
  <xdr:twoCellAnchor editAs="oneCell">
    <xdr:from>
      <xdr:col>19</xdr:col>
      <xdr:colOff>294409</xdr:colOff>
      <xdr:row>1</xdr:row>
      <xdr:rowOff>76200</xdr:rowOff>
    </xdr:from>
    <xdr:to>
      <xdr:col>21</xdr:col>
      <xdr:colOff>381000</xdr:colOff>
      <xdr:row>12</xdr:row>
      <xdr:rowOff>189448</xdr:rowOff>
    </xdr:to>
    <xdr:pic>
      <xdr:nvPicPr>
        <xdr:cNvPr id="92" name="Picture 91" descr="https://upload.wikimedia.org/wikipedia/commons/thumb/3/3f/Snells_law2.svg/357px-Snells_law2.svg.png">
          <a:extLst>
            <a:ext uri="{FF2B5EF4-FFF2-40B4-BE49-F238E27FC236}">
              <a16:creationId xmlns:a16="http://schemas.microsoft.com/office/drawing/2014/main" id="{00000000-0008-0000-0B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0273" y="266700"/>
          <a:ext cx="1298863" cy="2341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268942</xdr:colOff>
      <xdr:row>32</xdr:row>
      <xdr:rowOff>78441</xdr:rowOff>
    </xdr:from>
    <xdr:to>
      <xdr:col>15</xdr:col>
      <xdr:colOff>36582</xdr:colOff>
      <xdr:row>51</xdr:row>
      <xdr:rowOff>143586</xdr:rowOff>
    </xdr:to>
    <xdr:grpSp>
      <xdr:nvGrpSpPr>
        <xdr:cNvPr id="131" name="Group 130">
          <a:extLst>
            <a:ext uri="{FF2B5EF4-FFF2-40B4-BE49-F238E27FC236}">
              <a16:creationId xmlns:a16="http://schemas.microsoft.com/office/drawing/2014/main" id="{00000000-0008-0000-0B00-000083000000}"/>
            </a:ext>
          </a:extLst>
        </xdr:cNvPr>
        <xdr:cNvGrpSpPr/>
      </xdr:nvGrpSpPr>
      <xdr:grpSpPr>
        <a:xfrm>
          <a:off x="7336492" y="6745941"/>
          <a:ext cx="5701715" cy="3684645"/>
          <a:chOff x="762000" y="2667000"/>
          <a:chExt cx="5684346" cy="3684645"/>
        </a:xfrm>
      </xdr:grpSpPr>
      <xdr:grpSp>
        <xdr:nvGrpSpPr>
          <xdr:cNvPr id="132" name="Group 131">
            <a:extLst>
              <a:ext uri="{FF2B5EF4-FFF2-40B4-BE49-F238E27FC236}">
                <a16:creationId xmlns:a16="http://schemas.microsoft.com/office/drawing/2014/main" id="{00000000-0008-0000-0B00-000084000000}"/>
              </a:ext>
            </a:extLst>
          </xdr:cNvPr>
          <xdr:cNvGrpSpPr/>
        </xdr:nvGrpSpPr>
        <xdr:grpSpPr>
          <a:xfrm>
            <a:off x="762000" y="2667000"/>
            <a:ext cx="5684346" cy="3684645"/>
            <a:chOff x="262064" y="2761542"/>
            <a:chExt cx="5684346" cy="3684645"/>
          </a:xfrm>
        </xdr:grpSpPr>
        <xdr:sp macro="" textlink="">
          <xdr:nvSpPr>
            <xdr:cNvPr id="135" name="Isosceles Triangle 134">
              <a:extLst>
                <a:ext uri="{FF2B5EF4-FFF2-40B4-BE49-F238E27FC236}">
                  <a16:creationId xmlns:a16="http://schemas.microsoft.com/office/drawing/2014/main" id="{00000000-0008-0000-0B00-000087000000}"/>
                </a:ext>
              </a:extLst>
            </xdr:cNvPr>
            <xdr:cNvSpPr/>
          </xdr:nvSpPr>
          <xdr:spPr>
            <a:xfrm rot="10800000">
              <a:off x="2362200" y="3778607"/>
              <a:ext cx="2580649" cy="2438400"/>
            </a:xfrm>
            <a:prstGeom prst="triangle">
              <a:avLst/>
            </a:prstGeom>
            <a:solidFill>
              <a:srgbClr val="600000"/>
            </a:solidFill>
            <a:ln w="12700">
              <a:solidFill>
                <a:srgbClr val="4FAAFF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GB"/>
            </a:p>
          </xdr:txBody>
        </xdr:sp>
        <xdr:sp macro="" textlink="">
          <xdr:nvSpPr>
            <xdr:cNvPr id="136" name="Rectangle 135">
              <a:extLst>
                <a:ext uri="{FF2B5EF4-FFF2-40B4-BE49-F238E27FC236}">
                  <a16:creationId xmlns:a16="http://schemas.microsoft.com/office/drawing/2014/main" id="{00000000-0008-0000-0B00-000088000000}"/>
                </a:ext>
              </a:extLst>
            </xdr:cNvPr>
            <xdr:cNvSpPr/>
          </xdr:nvSpPr>
          <xdr:spPr>
            <a:xfrm rot="21225600">
              <a:off x="288877" y="3665160"/>
              <a:ext cx="5550651" cy="381000"/>
            </a:xfrm>
            <a:prstGeom prst="rect">
              <a:avLst/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GB"/>
            </a:p>
          </xdr:txBody>
        </xdr:sp>
        <xdr:sp macro="" textlink="">
          <xdr:nvSpPr>
            <xdr:cNvPr id="137" name="TextBox 6">
              <a:extLst>
                <a:ext uri="{FF2B5EF4-FFF2-40B4-BE49-F238E27FC236}">
                  <a16:creationId xmlns:a16="http://schemas.microsoft.com/office/drawing/2014/main" id="{00000000-0008-0000-0B00-000089000000}"/>
                </a:ext>
              </a:extLst>
            </xdr:cNvPr>
            <xdr:cNvSpPr txBox="1"/>
          </xdr:nvSpPr>
          <xdr:spPr>
            <a:xfrm rot="21228009">
              <a:off x="262064" y="3946144"/>
              <a:ext cx="1530106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200"/>
                <a:t>COVER GLASS</a:t>
              </a:r>
            </a:p>
          </xdr:txBody>
        </xdr:sp>
        <xdr:cxnSp macro="">
          <xdr:nvCxnSpPr>
            <xdr:cNvPr id="138" name="Straight Connector 137">
              <a:extLst>
                <a:ext uri="{FF2B5EF4-FFF2-40B4-BE49-F238E27FC236}">
                  <a16:creationId xmlns:a16="http://schemas.microsoft.com/office/drawing/2014/main" id="{00000000-0008-0000-0B00-00008A000000}"/>
                </a:ext>
              </a:extLst>
            </xdr:cNvPr>
            <xdr:cNvCxnSpPr/>
          </xdr:nvCxnSpPr>
          <xdr:spPr>
            <a:xfrm flipH="1" flipV="1">
              <a:off x="2465536" y="2913942"/>
              <a:ext cx="148125" cy="2191458"/>
            </a:xfrm>
            <a:prstGeom prst="line">
              <a:avLst/>
            </a:prstGeom>
            <a:ln w="19050">
              <a:solidFill>
                <a:schemeClr val="tx1"/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9" name="Straight Connector 138">
              <a:extLst>
                <a:ext uri="{FF2B5EF4-FFF2-40B4-BE49-F238E27FC236}">
                  <a16:creationId xmlns:a16="http://schemas.microsoft.com/office/drawing/2014/main" id="{00000000-0008-0000-0B00-00008B000000}"/>
                </a:ext>
              </a:extLst>
            </xdr:cNvPr>
            <xdr:cNvCxnSpPr/>
          </xdr:nvCxnSpPr>
          <xdr:spPr>
            <a:xfrm flipH="1" flipV="1">
              <a:off x="4831101" y="2761542"/>
              <a:ext cx="152400" cy="2188236"/>
            </a:xfrm>
            <a:prstGeom prst="line">
              <a:avLst/>
            </a:prstGeom>
            <a:ln w="19050">
              <a:solidFill>
                <a:schemeClr val="tx1"/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0" name="Straight Arrow Connector 139">
              <a:extLst>
                <a:ext uri="{FF2B5EF4-FFF2-40B4-BE49-F238E27FC236}">
                  <a16:creationId xmlns:a16="http://schemas.microsoft.com/office/drawing/2014/main" id="{00000000-0008-0000-0B00-00008C000000}"/>
                </a:ext>
              </a:extLst>
            </xdr:cNvPr>
            <xdr:cNvCxnSpPr/>
          </xdr:nvCxnSpPr>
          <xdr:spPr>
            <a:xfrm flipH="1" flipV="1">
              <a:off x="2413001" y="3724276"/>
              <a:ext cx="124461" cy="360369"/>
            </a:xfrm>
            <a:prstGeom prst="straightConnector1">
              <a:avLst/>
            </a:prstGeom>
            <a:ln>
              <a:solidFill>
                <a:srgbClr val="600000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1" name="Straight Connector 140">
              <a:extLst>
                <a:ext uri="{FF2B5EF4-FFF2-40B4-BE49-F238E27FC236}">
                  <a16:creationId xmlns:a16="http://schemas.microsoft.com/office/drawing/2014/main" id="{00000000-0008-0000-0B00-00008D000000}"/>
                </a:ext>
              </a:extLst>
            </xdr:cNvPr>
            <xdr:cNvCxnSpPr>
              <a:stCxn id="135" idx="0"/>
            </xdr:cNvCxnSpPr>
          </xdr:nvCxnSpPr>
          <xdr:spPr>
            <a:xfrm flipH="1" flipV="1">
              <a:off x="2349500" y="3736975"/>
              <a:ext cx="1303024" cy="2480032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2" name="Straight Connector 141">
              <a:extLst>
                <a:ext uri="{FF2B5EF4-FFF2-40B4-BE49-F238E27FC236}">
                  <a16:creationId xmlns:a16="http://schemas.microsoft.com/office/drawing/2014/main" id="{00000000-0008-0000-0B00-00008E000000}"/>
                </a:ext>
              </a:extLst>
            </xdr:cNvPr>
            <xdr:cNvCxnSpPr>
              <a:stCxn id="135" idx="0"/>
            </xdr:cNvCxnSpPr>
          </xdr:nvCxnSpPr>
          <xdr:spPr>
            <a:xfrm flipV="1">
              <a:off x="3652524" y="3443289"/>
              <a:ext cx="1467164" cy="2773718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3" name="Straight Arrow Connector 142">
              <a:extLst>
                <a:ext uri="{FF2B5EF4-FFF2-40B4-BE49-F238E27FC236}">
                  <a16:creationId xmlns:a16="http://schemas.microsoft.com/office/drawing/2014/main" id="{00000000-0008-0000-0B00-00008F000000}"/>
                </a:ext>
              </a:extLst>
            </xdr:cNvPr>
            <xdr:cNvCxnSpPr/>
          </xdr:nvCxnSpPr>
          <xdr:spPr>
            <a:xfrm flipV="1">
              <a:off x="4900613" y="3443289"/>
              <a:ext cx="128587" cy="409575"/>
            </a:xfrm>
            <a:prstGeom prst="straightConnector1">
              <a:avLst/>
            </a:prstGeom>
            <a:ln>
              <a:solidFill>
                <a:srgbClr val="600000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44" name="TextBox 22">
              <a:extLst>
                <a:ext uri="{FF2B5EF4-FFF2-40B4-BE49-F238E27FC236}">
                  <a16:creationId xmlns:a16="http://schemas.microsoft.com/office/drawing/2014/main" id="{00000000-0008-0000-0B00-000090000000}"/>
                </a:ext>
              </a:extLst>
            </xdr:cNvPr>
            <xdr:cNvSpPr txBox="1"/>
          </xdr:nvSpPr>
          <xdr:spPr>
            <a:xfrm>
              <a:off x="2497197" y="3926221"/>
              <a:ext cx="349063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700" b="1">
                  <a:solidFill>
                    <a:schemeClr val="bg1"/>
                  </a:solidFill>
                </a:rPr>
                <a:t>A’</a:t>
              </a:r>
            </a:p>
          </xdr:txBody>
        </xdr:sp>
        <xdr:sp macro="" textlink="">
          <xdr:nvSpPr>
            <xdr:cNvPr id="145" name="TextBox 23">
              <a:extLst>
                <a:ext uri="{FF2B5EF4-FFF2-40B4-BE49-F238E27FC236}">
                  <a16:creationId xmlns:a16="http://schemas.microsoft.com/office/drawing/2014/main" id="{00000000-0008-0000-0B00-000091000000}"/>
                </a:ext>
              </a:extLst>
            </xdr:cNvPr>
            <xdr:cNvSpPr txBox="1"/>
          </xdr:nvSpPr>
          <xdr:spPr>
            <a:xfrm>
              <a:off x="2264596" y="3538997"/>
              <a:ext cx="349063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700" b="1"/>
                <a:t>A</a:t>
              </a:r>
              <a:r>
                <a:rPr lang="en-GB" sz="700" b="1" baseline="-25000"/>
                <a:t>1</a:t>
              </a:r>
              <a:endParaRPr lang="en-GB" sz="700" b="1"/>
            </a:p>
          </xdr:txBody>
        </xdr:sp>
        <xdr:sp macro="" textlink="">
          <xdr:nvSpPr>
            <xdr:cNvPr id="146" name="TextBox 24">
              <a:extLst>
                <a:ext uri="{FF2B5EF4-FFF2-40B4-BE49-F238E27FC236}">
                  <a16:creationId xmlns:a16="http://schemas.microsoft.com/office/drawing/2014/main" id="{00000000-0008-0000-0B00-000092000000}"/>
                </a:ext>
              </a:extLst>
            </xdr:cNvPr>
            <xdr:cNvSpPr txBox="1"/>
          </xdr:nvSpPr>
          <xdr:spPr>
            <a:xfrm>
              <a:off x="4680137" y="3674871"/>
              <a:ext cx="349063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700" b="1">
                  <a:solidFill>
                    <a:schemeClr val="bg1"/>
                  </a:solidFill>
                </a:rPr>
                <a:t>C’</a:t>
              </a:r>
            </a:p>
          </xdr:txBody>
        </xdr:sp>
        <xdr:sp macro="" textlink="">
          <xdr:nvSpPr>
            <xdr:cNvPr id="147" name="TextBox 25">
              <a:extLst>
                <a:ext uri="{FF2B5EF4-FFF2-40B4-BE49-F238E27FC236}">
                  <a16:creationId xmlns:a16="http://schemas.microsoft.com/office/drawing/2014/main" id="{00000000-0008-0000-0B00-000093000000}"/>
                </a:ext>
              </a:extLst>
            </xdr:cNvPr>
            <xdr:cNvSpPr txBox="1"/>
          </xdr:nvSpPr>
          <xdr:spPr>
            <a:xfrm>
              <a:off x="4886283" y="3264601"/>
              <a:ext cx="349063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700" b="1"/>
                <a:t>C</a:t>
              </a:r>
              <a:r>
                <a:rPr lang="en-GB" sz="700" b="1" baseline="-25000"/>
                <a:t>1</a:t>
              </a:r>
              <a:endParaRPr lang="en-GB" sz="700" b="1"/>
            </a:p>
          </xdr:txBody>
        </xdr:sp>
        <xdr:sp macro="" textlink="">
          <xdr:nvSpPr>
            <xdr:cNvPr id="148" name="TextBox 26">
              <a:extLst>
                <a:ext uri="{FF2B5EF4-FFF2-40B4-BE49-F238E27FC236}">
                  <a16:creationId xmlns:a16="http://schemas.microsoft.com/office/drawing/2014/main" id="{00000000-0008-0000-0B00-000094000000}"/>
                </a:ext>
              </a:extLst>
            </xdr:cNvPr>
            <xdr:cNvSpPr txBox="1"/>
          </xdr:nvSpPr>
          <xdr:spPr>
            <a:xfrm rot="21219020">
              <a:off x="5413010" y="3419237"/>
              <a:ext cx="533400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200" b="1"/>
                <a:t>n</a:t>
              </a:r>
              <a:r>
                <a:rPr lang="en-GB" sz="1200" b="1" baseline="-25000"/>
                <a:t>CG</a:t>
              </a:r>
              <a:endParaRPr lang="en-GB" sz="1200" b="1"/>
            </a:p>
          </xdr:txBody>
        </xdr:sp>
        <xdr:cxnSp macro="">
          <xdr:nvCxnSpPr>
            <xdr:cNvPr id="149" name="Straight Connector 148">
              <a:extLst>
                <a:ext uri="{FF2B5EF4-FFF2-40B4-BE49-F238E27FC236}">
                  <a16:creationId xmlns:a16="http://schemas.microsoft.com/office/drawing/2014/main" id="{00000000-0008-0000-0B00-000095000000}"/>
                </a:ext>
              </a:extLst>
            </xdr:cNvPr>
            <xdr:cNvCxnSpPr/>
          </xdr:nvCxnSpPr>
          <xdr:spPr>
            <a:xfrm flipH="1">
              <a:off x="2416176" y="3447987"/>
              <a:ext cx="2616065" cy="285813"/>
            </a:xfrm>
            <a:prstGeom prst="line">
              <a:avLst/>
            </a:prstGeom>
            <a:ln w="12700">
              <a:solidFill>
                <a:srgbClr val="FFFF00"/>
              </a:solidFill>
              <a:headEnd type="triangle" w="med" len="med"/>
              <a:tailEnd type="triangle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50" name="TextBox 30">
              <a:extLst>
                <a:ext uri="{FF2B5EF4-FFF2-40B4-BE49-F238E27FC236}">
                  <a16:creationId xmlns:a16="http://schemas.microsoft.com/office/drawing/2014/main" id="{00000000-0008-0000-0B00-000096000000}"/>
                </a:ext>
              </a:extLst>
            </xdr:cNvPr>
            <xdr:cNvSpPr txBox="1"/>
          </xdr:nvSpPr>
          <xdr:spPr>
            <a:xfrm rot="21216035">
              <a:off x="3669015" y="3520142"/>
              <a:ext cx="647798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200" b="1" i="0">
                  <a:solidFill>
                    <a:srgbClr val="FFFF00"/>
                  </a:solidFill>
                </a:rPr>
                <a:t>Dd1</a:t>
              </a:r>
            </a:p>
          </xdr:txBody>
        </xdr:sp>
        <xdr:sp macro="" textlink="">
          <xdr:nvSpPr>
            <xdr:cNvPr id="151" name="TextBox 31">
              <a:extLst>
                <a:ext uri="{FF2B5EF4-FFF2-40B4-BE49-F238E27FC236}">
                  <a16:creationId xmlns:a16="http://schemas.microsoft.com/office/drawing/2014/main" id="{00000000-0008-0000-0B00-000097000000}"/>
                </a:ext>
              </a:extLst>
            </xdr:cNvPr>
            <xdr:cNvSpPr txBox="1"/>
          </xdr:nvSpPr>
          <xdr:spPr>
            <a:xfrm>
              <a:off x="3536960" y="6246132"/>
              <a:ext cx="349063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700" b="1"/>
                <a:t>O</a:t>
              </a:r>
            </a:p>
          </xdr:txBody>
        </xdr:sp>
        <xdr:sp macro="" textlink="">
          <xdr:nvSpPr>
            <xdr:cNvPr id="152" name="TextBox 41">
              <a:extLst>
                <a:ext uri="{FF2B5EF4-FFF2-40B4-BE49-F238E27FC236}">
                  <a16:creationId xmlns:a16="http://schemas.microsoft.com/office/drawing/2014/main" id="{00000000-0008-0000-0B00-000098000000}"/>
                </a:ext>
              </a:extLst>
            </xdr:cNvPr>
            <xdr:cNvSpPr txBox="1"/>
          </xdr:nvSpPr>
          <xdr:spPr>
            <a:xfrm rot="21345707">
              <a:off x="2227716" y="3204175"/>
              <a:ext cx="349063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700" b="1">
                  <a:solidFill>
                    <a:schemeClr val="accent2"/>
                  </a:solidFill>
                </a:rPr>
                <a:t>d</a:t>
              </a:r>
              <a:r>
                <a:rPr lang="en-GB" sz="700" b="1" baseline="-25000">
                  <a:solidFill>
                    <a:schemeClr val="accent2"/>
                  </a:solidFill>
                </a:rPr>
                <a:t>A</a:t>
              </a:r>
              <a:endParaRPr lang="en-GB" sz="700" b="1">
                <a:solidFill>
                  <a:schemeClr val="accent2"/>
                </a:solidFill>
              </a:endParaRPr>
            </a:p>
          </xdr:txBody>
        </xdr:sp>
        <xdr:sp macro="" textlink="">
          <xdr:nvSpPr>
            <xdr:cNvPr id="153" name="TextBox 42">
              <a:extLst>
                <a:ext uri="{FF2B5EF4-FFF2-40B4-BE49-F238E27FC236}">
                  <a16:creationId xmlns:a16="http://schemas.microsoft.com/office/drawing/2014/main" id="{00000000-0008-0000-0B00-000099000000}"/>
                </a:ext>
              </a:extLst>
            </xdr:cNvPr>
            <xdr:cNvSpPr txBox="1"/>
          </xdr:nvSpPr>
          <xdr:spPr>
            <a:xfrm rot="21264387">
              <a:off x="4808970" y="2992794"/>
              <a:ext cx="349063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700" b="1">
                  <a:solidFill>
                    <a:schemeClr val="accent2"/>
                  </a:solidFill>
                </a:rPr>
                <a:t>d</a:t>
              </a:r>
              <a:r>
                <a:rPr lang="en-GB" sz="700" b="1" baseline="-25000">
                  <a:solidFill>
                    <a:schemeClr val="accent2"/>
                  </a:solidFill>
                </a:rPr>
                <a:t>C</a:t>
              </a:r>
              <a:endParaRPr lang="en-GB" sz="700" b="1">
                <a:solidFill>
                  <a:schemeClr val="accent2"/>
                </a:solidFill>
              </a:endParaRPr>
            </a:p>
          </xdr:txBody>
        </xdr:sp>
      </xdr:grpSp>
      <xdr:cxnSp macro="">
        <xdr:nvCxnSpPr>
          <xdr:cNvPr id="133" name="Straight Arrow Connector 132">
            <a:extLst>
              <a:ext uri="{FF2B5EF4-FFF2-40B4-BE49-F238E27FC236}">
                <a16:creationId xmlns:a16="http://schemas.microsoft.com/office/drawing/2014/main" id="{00000000-0008-0000-0B00-000085000000}"/>
              </a:ext>
            </a:extLst>
          </xdr:cNvPr>
          <xdr:cNvCxnSpPr/>
        </xdr:nvCxnSpPr>
        <xdr:spPr>
          <a:xfrm flipV="1">
            <a:off x="2796647" y="3334891"/>
            <a:ext cx="186874" cy="24898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134" name="Straight Arrow Connector 133">
            <a:extLst>
              <a:ext uri="{FF2B5EF4-FFF2-40B4-BE49-F238E27FC236}">
                <a16:creationId xmlns:a16="http://schemas.microsoft.com/office/drawing/2014/main" id="{00000000-0008-0000-0B00-000086000000}"/>
              </a:ext>
            </a:extLst>
          </xdr:cNvPr>
          <xdr:cNvCxnSpPr/>
        </xdr:nvCxnSpPr>
        <xdr:spPr>
          <a:xfrm flipV="1">
            <a:off x="5349348" y="3105150"/>
            <a:ext cx="197377" cy="13636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Fraser WILLIAMS" id="{17240B39-505B-4A6D-9284-64AA622B41F9}" userId="S::fraser.williams@st.com::cc0802c3-2b5d-4f01-a917-552514367f8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6" dT="2026-02-24T16:43:20.48" personId="{17240B39-505B-4A6D-9284-64AA622B41F9}" id="{E742F0E3-CD58-4DDB-AECE-36CFC685C227}">
    <text>Assumed low enough tilt tolerance that no impact in ‘X’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OD@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D@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9E861-4E11-4E6A-BB53-127F1F7D927A}">
  <dimension ref="B1:L72"/>
  <sheetViews>
    <sheetView tabSelected="1" topLeftCell="A19" zoomScale="85" zoomScaleNormal="85" workbookViewId="0">
      <selection activeCell="P34" sqref="P34"/>
    </sheetView>
  </sheetViews>
  <sheetFormatPr defaultRowHeight="15" x14ac:dyDescent="0.25"/>
  <cols>
    <col min="1" max="1" width="1.28515625" customWidth="1"/>
    <col min="2" max="12" width="12.7109375" customWidth="1"/>
  </cols>
  <sheetData>
    <row r="1" spans="2:12" ht="3.75" customHeight="1" thickBot="1" x14ac:dyDescent="0.3"/>
    <row r="2" spans="2:12" ht="41.25" customHeight="1" thickBot="1" x14ac:dyDescent="0.3">
      <c r="B2" s="114" t="s">
        <v>0</v>
      </c>
      <c r="C2" s="115"/>
      <c r="D2" s="115"/>
      <c r="E2" s="115"/>
      <c r="F2" s="115"/>
      <c r="G2" s="115"/>
      <c r="H2" s="115"/>
      <c r="I2" s="115"/>
      <c r="J2" s="115"/>
      <c r="K2" s="115"/>
      <c r="L2" s="116"/>
    </row>
    <row r="3" spans="2:12" ht="3.75" customHeight="1" x14ac:dyDescent="0.25"/>
    <row r="4" spans="2:12" ht="24.95" customHeight="1" x14ac:dyDescent="0.25">
      <c r="B4" s="118" t="s">
        <v>1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</row>
    <row r="5" spans="2:12" ht="4.5" customHeight="1" x14ac:dyDescent="0.25"/>
    <row r="6" spans="2:12" ht="20.100000000000001" customHeight="1" x14ac:dyDescent="0.25">
      <c r="B6" s="95" t="s">
        <v>2</v>
      </c>
      <c r="C6" s="95"/>
      <c r="D6" s="95"/>
      <c r="E6" s="95"/>
      <c r="F6" s="95"/>
      <c r="G6" s="95"/>
      <c r="H6" s="95"/>
      <c r="I6" s="95"/>
      <c r="J6" s="95"/>
      <c r="K6" s="95"/>
      <c r="L6" s="95"/>
    </row>
    <row r="7" spans="2:12" ht="20.100000000000001" customHeight="1" x14ac:dyDescent="0.25">
      <c r="B7" s="113" t="s">
        <v>3</v>
      </c>
      <c r="C7" s="113"/>
      <c r="D7" s="113"/>
      <c r="E7" s="113"/>
      <c r="F7" s="113" t="s">
        <v>4</v>
      </c>
      <c r="G7" s="113"/>
      <c r="H7" s="108" t="s">
        <v>5</v>
      </c>
      <c r="I7" s="107"/>
      <c r="J7" s="107"/>
      <c r="K7" s="107"/>
      <c r="L7" s="109"/>
    </row>
    <row r="8" spans="2:12" ht="20.100000000000001" customHeight="1" x14ac:dyDescent="0.25">
      <c r="B8" s="96" t="s">
        <v>6</v>
      </c>
      <c r="C8" s="96"/>
      <c r="D8" s="96"/>
      <c r="E8" s="96"/>
      <c r="F8" s="96" t="s">
        <v>7</v>
      </c>
      <c r="G8" s="96"/>
      <c r="H8" s="97" t="s">
        <v>8</v>
      </c>
      <c r="I8" s="117"/>
      <c r="J8" s="117"/>
      <c r="K8" s="117"/>
      <c r="L8" s="98"/>
    </row>
    <row r="9" spans="2:12" ht="2.25" customHeight="1" x14ac:dyDescent="0.25"/>
    <row r="10" spans="2:12" ht="21.75" customHeight="1" x14ac:dyDescent="0.25">
      <c r="B10" s="95" t="s">
        <v>9</v>
      </c>
      <c r="C10" s="95"/>
      <c r="D10" s="95"/>
      <c r="E10" s="95"/>
      <c r="F10" s="95"/>
      <c r="G10" s="95"/>
      <c r="H10" s="95"/>
      <c r="I10" s="95"/>
      <c r="J10" s="95"/>
      <c r="K10" s="95"/>
      <c r="L10" s="95"/>
    </row>
    <row r="11" spans="2:12" ht="20.100000000000001" customHeight="1" x14ac:dyDescent="0.25">
      <c r="B11" s="108" t="s">
        <v>3</v>
      </c>
      <c r="C11" s="107"/>
      <c r="D11" s="107"/>
      <c r="E11" s="109"/>
      <c r="F11" s="108" t="s">
        <v>4</v>
      </c>
      <c r="G11" s="109"/>
      <c r="H11" s="108" t="s">
        <v>5</v>
      </c>
      <c r="I11" s="107"/>
      <c r="J11" s="107"/>
      <c r="K11" s="107"/>
      <c r="L11" s="109"/>
    </row>
    <row r="12" spans="2:12" ht="20.100000000000001" customHeight="1" x14ac:dyDescent="0.25">
      <c r="B12" s="96" t="s">
        <v>10</v>
      </c>
      <c r="C12" s="96"/>
      <c r="D12" s="96"/>
      <c r="E12" s="96"/>
      <c r="F12" s="96">
        <v>0</v>
      </c>
      <c r="G12" s="96"/>
      <c r="H12" s="96" t="s">
        <v>11</v>
      </c>
      <c r="I12" s="96"/>
      <c r="J12" s="96"/>
      <c r="K12" s="96"/>
      <c r="L12" s="96"/>
    </row>
    <row r="13" spans="2:12" ht="20.100000000000001" customHeight="1" x14ac:dyDescent="0.25">
      <c r="B13" s="96" t="s">
        <v>12</v>
      </c>
      <c r="C13" s="96"/>
      <c r="D13" s="96"/>
      <c r="E13" s="96"/>
      <c r="F13" s="96">
        <v>1.5</v>
      </c>
      <c r="G13" s="96"/>
      <c r="H13" s="97" t="s">
        <v>13</v>
      </c>
      <c r="I13" s="117"/>
      <c r="J13" s="117"/>
      <c r="K13" s="117"/>
      <c r="L13" s="98"/>
    </row>
    <row r="14" spans="2:12" ht="20.100000000000001" customHeight="1" x14ac:dyDescent="0.25">
      <c r="B14" s="96" t="s">
        <v>14</v>
      </c>
      <c r="C14" s="96"/>
      <c r="D14" s="96"/>
      <c r="E14" s="96"/>
      <c r="F14" s="96">
        <v>0</v>
      </c>
      <c r="G14" s="96"/>
      <c r="H14" s="96" t="s">
        <v>15</v>
      </c>
      <c r="I14" s="96"/>
      <c r="J14" s="96"/>
      <c r="K14" s="96"/>
      <c r="L14" s="96"/>
    </row>
    <row r="15" spans="2:12" ht="20.100000000000001" customHeight="1" x14ac:dyDescent="0.25">
      <c r="B15" s="96" t="s">
        <v>16</v>
      </c>
      <c r="C15" s="96"/>
      <c r="D15" s="96"/>
      <c r="E15" s="96"/>
      <c r="F15" s="96">
        <v>7</v>
      </c>
      <c r="G15" s="96"/>
      <c r="H15" s="96" t="s">
        <v>15</v>
      </c>
      <c r="I15" s="96"/>
      <c r="J15" s="96"/>
      <c r="K15" s="96"/>
      <c r="L15" s="96"/>
    </row>
    <row r="16" spans="2:12" ht="2.25" customHeight="1" x14ac:dyDescent="0.25"/>
    <row r="17" spans="2:12" ht="21.75" customHeight="1" x14ac:dyDescent="0.25">
      <c r="B17" s="95" t="s">
        <v>17</v>
      </c>
      <c r="C17" s="95"/>
      <c r="D17" s="95"/>
      <c r="E17" s="95"/>
      <c r="F17" s="95"/>
      <c r="G17" s="95"/>
      <c r="H17" s="95"/>
      <c r="I17" s="95"/>
      <c r="J17" s="95"/>
      <c r="K17" s="95"/>
      <c r="L17" s="95"/>
    </row>
    <row r="18" spans="2:12" ht="20.100000000000001" customHeight="1" x14ac:dyDescent="0.25">
      <c r="B18" s="108" t="s">
        <v>3</v>
      </c>
      <c r="C18" s="107"/>
      <c r="D18" s="107"/>
      <c r="E18" s="109"/>
      <c r="F18" s="108" t="s">
        <v>4</v>
      </c>
      <c r="G18" s="109"/>
      <c r="H18" s="108" t="s">
        <v>5</v>
      </c>
      <c r="I18" s="107"/>
      <c r="J18" s="107"/>
      <c r="K18" s="107"/>
      <c r="L18" s="109"/>
    </row>
    <row r="19" spans="2:12" ht="20.100000000000001" customHeight="1" x14ac:dyDescent="0.25">
      <c r="B19" s="96" t="s">
        <v>18</v>
      </c>
      <c r="C19" s="96"/>
      <c r="D19" s="96"/>
      <c r="E19" s="96"/>
      <c r="F19" s="96">
        <v>0.81</v>
      </c>
      <c r="G19" s="96"/>
      <c r="H19" s="96" t="s">
        <v>11</v>
      </c>
      <c r="I19" s="96"/>
      <c r="J19" s="96"/>
      <c r="K19" s="96"/>
      <c r="L19" s="96"/>
    </row>
    <row r="20" spans="2:12" ht="20.100000000000001" customHeight="1" x14ac:dyDescent="0.25">
      <c r="B20" s="96" t="s">
        <v>19</v>
      </c>
      <c r="C20" s="96"/>
      <c r="D20" s="96"/>
      <c r="E20" s="96"/>
      <c r="F20" s="96">
        <v>1</v>
      </c>
      <c r="G20" s="96"/>
      <c r="H20" s="97" t="s">
        <v>13</v>
      </c>
      <c r="I20" s="117"/>
      <c r="J20" s="117"/>
      <c r="K20" s="117"/>
      <c r="L20" s="98"/>
    </row>
    <row r="21" spans="2:12" ht="2.25" customHeight="1" x14ac:dyDescent="0.25"/>
    <row r="22" spans="2:12" ht="21.75" customHeight="1" x14ac:dyDescent="0.25">
      <c r="B22" s="95" t="s">
        <v>20</v>
      </c>
      <c r="C22" s="95"/>
      <c r="D22" s="95"/>
      <c r="E22" s="95"/>
      <c r="F22" s="95"/>
      <c r="G22" s="95"/>
      <c r="H22" s="95"/>
      <c r="I22" s="95"/>
      <c r="J22" s="95"/>
      <c r="K22" s="95"/>
      <c r="L22" s="95"/>
    </row>
    <row r="23" spans="2:12" ht="20.100000000000001" customHeight="1" x14ac:dyDescent="0.25">
      <c r="B23" s="108" t="s">
        <v>3</v>
      </c>
      <c r="C23" s="107"/>
      <c r="D23" s="107"/>
      <c r="E23" s="109"/>
      <c r="F23" s="108" t="s">
        <v>4</v>
      </c>
      <c r="G23" s="109"/>
      <c r="H23" s="108" t="s">
        <v>5</v>
      </c>
      <c r="I23" s="107"/>
      <c r="J23" s="107"/>
      <c r="K23" s="107"/>
      <c r="L23" s="109"/>
    </row>
    <row r="24" spans="2:12" ht="20.100000000000001" customHeight="1" x14ac:dyDescent="0.25">
      <c r="B24" s="96" t="s">
        <v>21</v>
      </c>
      <c r="C24" s="96"/>
      <c r="D24" s="96"/>
      <c r="E24" s="96"/>
      <c r="F24" s="96">
        <v>300</v>
      </c>
      <c r="G24" s="96"/>
      <c r="H24" s="96" t="s">
        <v>22</v>
      </c>
      <c r="I24" s="96"/>
      <c r="J24" s="96"/>
      <c r="K24" s="96"/>
      <c r="L24" s="96"/>
    </row>
    <row r="25" spans="2:12" ht="20.100000000000001" customHeight="1" x14ac:dyDescent="0.25">
      <c r="B25" s="96" t="s">
        <v>23</v>
      </c>
      <c r="C25" s="96"/>
      <c r="D25" s="96"/>
      <c r="E25" s="96"/>
      <c r="F25" s="96">
        <v>0.2</v>
      </c>
      <c r="G25" s="96"/>
      <c r="H25" s="96" t="s">
        <v>11</v>
      </c>
      <c r="I25" s="96"/>
      <c r="J25" s="96"/>
      <c r="K25" s="96"/>
      <c r="L25" s="96"/>
    </row>
    <row r="26" spans="2:12" ht="20.100000000000001" customHeight="1" x14ac:dyDescent="0.25">
      <c r="B26" s="96" t="s">
        <v>24</v>
      </c>
      <c r="C26" s="96"/>
      <c r="D26" s="96"/>
      <c r="E26" s="96"/>
      <c r="F26" s="96">
        <v>0</v>
      </c>
      <c r="G26" s="96"/>
      <c r="H26" s="96" t="s">
        <v>15</v>
      </c>
      <c r="I26" s="96"/>
      <c r="J26" s="96"/>
      <c r="K26" s="96"/>
      <c r="L26" s="96"/>
    </row>
    <row r="27" spans="2:12" ht="3.75" customHeight="1" x14ac:dyDescent="0.25"/>
    <row r="28" spans="2:12" ht="24.95" customHeight="1" x14ac:dyDescent="0.25">
      <c r="B28" s="102" t="s">
        <v>25</v>
      </c>
      <c r="C28" s="103"/>
      <c r="D28" s="103"/>
      <c r="E28" s="103"/>
      <c r="F28" s="103"/>
      <c r="G28" s="103"/>
      <c r="H28" s="103"/>
      <c r="I28" s="103"/>
      <c r="J28" s="103"/>
      <c r="K28" s="103"/>
      <c r="L28" s="104"/>
    </row>
    <row r="29" spans="2:12" ht="3" customHeight="1" x14ac:dyDescent="0.25"/>
    <row r="30" spans="2:12" ht="52.5" customHeight="1" x14ac:dyDescent="0.25">
      <c r="B30" s="110" t="s">
        <v>26</v>
      </c>
      <c r="C30" s="110"/>
      <c r="D30" s="108" t="s">
        <v>27</v>
      </c>
      <c r="E30" s="107"/>
      <c r="F30" s="109"/>
      <c r="G30" s="106" t="s">
        <v>28</v>
      </c>
      <c r="H30" s="107"/>
      <c r="I30" s="107"/>
      <c r="J30" s="105" t="s">
        <v>29</v>
      </c>
      <c r="K30" s="105"/>
      <c r="L30" s="105"/>
    </row>
    <row r="31" spans="2:12" ht="20.100000000000001" customHeight="1" x14ac:dyDescent="0.25">
      <c r="B31" s="111" t="s">
        <v>30</v>
      </c>
      <c r="C31" s="112"/>
      <c r="D31" s="99">
        <f>Input_data!V32+((Module_XYTols/1000)*2)</f>
        <v>3.6786032153742712</v>
      </c>
      <c r="E31" s="100"/>
      <c r="F31" s="101"/>
      <c r="G31" s="99">
        <f>C_centre!L40</f>
        <v>1.4040560769451239E-17</v>
      </c>
      <c r="H31" s="100"/>
      <c r="I31" s="101"/>
      <c r="J31" s="99">
        <f>C_centre!M40</f>
        <v>0.14661021311586725</v>
      </c>
      <c r="K31" s="100"/>
      <c r="L31" s="101"/>
    </row>
    <row r="32" spans="2:12" ht="20.100000000000001" customHeight="1" x14ac:dyDescent="0.25">
      <c r="B32" s="97" t="s">
        <v>31</v>
      </c>
      <c r="C32" s="98"/>
      <c r="D32" s="99">
        <f>Input_data!V29+((Module_XYTols/1000)*2)</f>
        <v>3.6361726399827723</v>
      </c>
      <c r="E32" s="100"/>
      <c r="F32" s="101"/>
      <c r="G32" s="99">
        <f>C_centre!D40</f>
        <v>1.404056076945126E-17</v>
      </c>
      <c r="H32" s="100"/>
      <c r="I32" s="101"/>
      <c r="J32" s="99">
        <f>C_centre!E40</f>
        <v>0.14458957087470092</v>
      </c>
      <c r="K32" s="100"/>
      <c r="L32" s="101"/>
    </row>
    <row r="44" spans="2:12" ht="52.5" customHeight="1" x14ac:dyDescent="0.25">
      <c r="B44" s="110" t="s">
        <v>32</v>
      </c>
      <c r="C44" s="110"/>
      <c r="D44" s="108" t="s">
        <v>33</v>
      </c>
      <c r="E44" s="107"/>
      <c r="F44" s="109"/>
      <c r="G44" s="106" t="s">
        <v>34</v>
      </c>
      <c r="H44" s="107"/>
      <c r="I44" s="107"/>
      <c r="J44" s="105" t="s">
        <v>35</v>
      </c>
      <c r="K44" s="105"/>
      <c r="L44" s="105"/>
    </row>
    <row r="45" spans="2:12" ht="20.100000000000001" customHeight="1" x14ac:dyDescent="0.25">
      <c r="B45" s="111" t="s">
        <v>30</v>
      </c>
      <c r="C45" s="112"/>
      <c r="D45" s="99">
        <f>(Input_data!V29+(Module_XYTols/1000*2))/2+Input_data!E11+(Input_data!V32+(Module_XYTols/1000*2))/2</f>
        <v>7.6573879276785224</v>
      </c>
      <c r="E45" s="100"/>
      <c r="F45" s="101"/>
      <c r="G45" s="99">
        <f>C_centre!L40</f>
        <v>1.4040560769451239E-17</v>
      </c>
      <c r="H45" s="100"/>
      <c r="I45" s="101"/>
      <c r="J45" s="99">
        <f>C_centre!M40</f>
        <v>0.14661021311586725</v>
      </c>
      <c r="K45" s="100"/>
      <c r="L45" s="101"/>
    </row>
    <row r="46" spans="2:12" ht="20.100000000000001" customHeight="1" x14ac:dyDescent="0.25">
      <c r="B46" s="97" t="s">
        <v>31</v>
      </c>
      <c r="C46" s="98"/>
      <c r="D46" s="99">
        <f>Input_data!V32+((Module_XYTols/1000)*2)</f>
        <v>3.6786032153742712</v>
      </c>
      <c r="E46" s="100"/>
      <c r="F46" s="101"/>
      <c r="G46" s="99" t="s">
        <v>36</v>
      </c>
      <c r="H46" s="100"/>
      <c r="I46" s="101"/>
      <c r="J46" s="99" t="s">
        <v>36</v>
      </c>
      <c r="K46" s="100"/>
      <c r="L46" s="101"/>
    </row>
    <row r="58" spans="2:11" ht="52.5" customHeight="1" x14ac:dyDescent="0.25">
      <c r="B58" s="110" t="s">
        <v>37</v>
      </c>
      <c r="C58" s="110"/>
      <c r="D58" s="113" t="s">
        <v>38</v>
      </c>
      <c r="E58" s="113"/>
      <c r="F58" s="113" t="s">
        <v>39</v>
      </c>
      <c r="G58" s="113"/>
      <c r="H58" s="105" t="s">
        <v>40</v>
      </c>
      <c r="I58" s="113"/>
      <c r="J58" s="105" t="s">
        <v>41</v>
      </c>
      <c r="K58" s="113"/>
    </row>
    <row r="59" spans="2:11" ht="20.100000000000001" customHeight="1" x14ac:dyDescent="0.25">
      <c r="B59" s="96" t="s">
        <v>30</v>
      </c>
      <c r="C59" s="96"/>
      <c r="D59" s="119">
        <f>Input_data!AE31+((Module_XYTols/1000))</f>
        <v>2.6185688509049294</v>
      </c>
      <c r="E59" s="119"/>
      <c r="F59" s="119">
        <f>Input_data!AE32+((Module_XYTols/1000))</f>
        <v>2.4719586377890623</v>
      </c>
      <c r="G59" s="119"/>
      <c r="H59" s="119">
        <f>R_centre!$K$25</f>
        <v>0</v>
      </c>
      <c r="I59" s="119"/>
      <c r="J59" s="119">
        <f>R_centre!$L$25</f>
        <v>7.3305106557933541E-2</v>
      </c>
      <c r="K59" s="119"/>
    </row>
    <row r="60" spans="2:11" ht="20.100000000000001" customHeight="1" x14ac:dyDescent="0.25">
      <c r="B60" s="96" t="s">
        <v>31</v>
      </c>
      <c r="C60" s="96"/>
      <c r="D60" s="119">
        <f>Input_data!AE28+((Module_XYTols/1000))</f>
        <v>2.586613381639709</v>
      </c>
      <c r="E60" s="119"/>
      <c r="F60" s="119">
        <f>Input_data!AE29+((Module_XYTols/1000))</f>
        <v>2.4420238107650079</v>
      </c>
      <c r="G60" s="119"/>
      <c r="H60" s="119">
        <f>R_centre!$C$25</f>
        <v>0</v>
      </c>
      <c r="I60" s="119"/>
      <c r="J60" s="119">
        <f>R_centre!$D$25</f>
        <v>7.2294785437350573E-2</v>
      </c>
      <c r="K60" s="119"/>
    </row>
    <row r="71" spans="2:11" ht="52.5" customHeight="1" x14ac:dyDescent="0.25">
      <c r="B71" s="110" t="s">
        <v>42</v>
      </c>
      <c r="C71" s="110"/>
      <c r="D71" s="113" t="s">
        <v>38</v>
      </c>
      <c r="E71" s="113"/>
      <c r="F71" s="113" t="s">
        <v>39</v>
      </c>
      <c r="G71" s="113"/>
      <c r="H71" s="105" t="s">
        <v>43</v>
      </c>
      <c r="I71" s="113"/>
      <c r="J71" s="105" t="s">
        <v>44</v>
      </c>
      <c r="K71" s="113"/>
    </row>
    <row r="72" spans="2:11" ht="20.100000000000001" customHeight="1" x14ac:dyDescent="0.25">
      <c r="B72" s="96" t="s">
        <v>45</v>
      </c>
      <c r="C72" s="96"/>
      <c r="D72" s="119">
        <f>Input_data!AG31+((Module_XYTols/1000))</f>
        <v>6.6025911162723192</v>
      </c>
      <c r="E72" s="119"/>
      <c r="F72" s="119">
        <f>Input_data!AG32+((Module_XYTols/1000))</f>
        <v>2.4719586377890623</v>
      </c>
      <c r="G72" s="119"/>
      <c r="H72" s="119">
        <f>R_centre!$K$25</f>
        <v>0</v>
      </c>
      <c r="I72" s="119"/>
      <c r="J72" s="119">
        <f>R_centre!$L$25</f>
        <v>7.3305106557933541E-2</v>
      </c>
      <c r="K72" s="119"/>
    </row>
  </sheetData>
  <mergeCells count="98">
    <mergeCell ref="B72:C72"/>
    <mergeCell ref="D72:E72"/>
    <mergeCell ref="F72:G72"/>
    <mergeCell ref="H72:I72"/>
    <mergeCell ref="J72:K72"/>
    <mergeCell ref="J58:K58"/>
    <mergeCell ref="J59:K59"/>
    <mergeCell ref="J60:K60"/>
    <mergeCell ref="B71:C71"/>
    <mergeCell ref="D71:E71"/>
    <mergeCell ref="F71:G71"/>
    <mergeCell ref="H71:I71"/>
    <mergeCell ref="J71:K71"/>
    <mergeCell ref="F58:G58"/>
    <mergeCell ref="F59:G59"/>
    <mergeCell ref="F60:G60"/>
    <mergeCell ref="H58:I58"/>
    <mergeCell ref="H59:I59"/>
    <mergeCell ref="H60:I60"/>
    <mergeCell ref="B60:C60"/>
    <mergeCell ref="D60:E60"/>
    <mergeCell ref="B58:C58"/>
    <mergeCell ref="B59:C59"/>
    <mergeCell ref="D58:E58"/>
    <mergeCell ref="D59:E59"/>
    <mergeCell ref="B45:C45"/>
    <mergeCell ref="D45:F45"/>
    <mergeCell ref="G45:I45"/>
    <mergeCell ref="J45:L45"/>
    <mergeCell ref="B46:C46"/>
    <mergeCell ref="D46:F46"/>
    <mergeCell ref="G46:I46"/>
    <mergeCell ref="J46:L46"/>
    <mergeCell ref="H14:L14"/>
    <mergeCell ref="B10:L10"/>
    <mergeCell ref="B14:E14"/>
    <mergeCell ref="B13:E13"/>
    <mergeCell ref="F14:G14"/>
    <mergeCell ref="F13:G13"/>
    <mergeCell ref="B12:E12"/>
    <mergeCell ref="F12:G12"/>
    <mergeCell ref="H12:L12"/>
    <mergeCell ref="H13:L13"/>
    <mergeCell ref="B44:C44"/>
    <mergeCell ref="D44:F44"/>
    <mergeCell ref="G44:I44"/>
    <mergeCell ref="J44:L44"/>
    <mergeCell ref="B15:E15"/>
    <mergeCell ref="F15:G15"/>
    <mergeCell ref="H15:L15"/>
    <mergeCell ref="H20:L20"/>
    <mergeCell ref="B17:L17"/>
    <mergeCell ref="B18:E18"/>
    <mergeCell ref="F18:G18"/>
    <mergeCell ref="H18:L18"/>
    <mergeCell ref="B19:E19"/>
    <mergeCell ref="F19:G19"/>
    <mergeCell ref="H19:L19"/>
    <mergeCell ref="B25:E25"/>
    <mergeCell ref="F7:G7"/>
    <mergeCell ref="F8:G8"/>
    <mergeCell ref="B11:E11"/>
    <mergeCell ref="F11:G11"/>
    <mergeCell ref="B2:L2"/>
    <mergeCell ref="B6:L6"/>
    <mergeCell ref="B7:E7"/>
    <mergeCell ref="H8:L8"/>
    <mergeCell ref="H7:L7"/>
    <mergeCell ref="H11:L11"/>
    <mergeCell ref="B8:E8"/>
    <mergeCell ref="B4:L4"/>
    <mergeCell ref="F25:G25"/>
    <mergeCell ref="H25:L25"/>
    <mergeCell ref="B26:E26"/>
    <mergeCell ref="F26:G26"/>
    <mergeCell ref="H26:L26"/>
    <mergeCell ref="B23:E23"/>
    <mergeCell ref="F23:G23"/>
    <mergeCell ref="H23:L23"/>
    <mergeCell ref="B24:E24"/>
    <mergeCell ref="F24:G24"/>
    <mergeCell ref="H24:L24"/>
    <mergeCell ref="B22:L22"/>
    <mergeCell ref="B20:E20"/>
    <mergeCell ref="F20:G20"/>
    <mergeCell ref="B32:C32"/>
    <mergeCell ref="D32:F32"/>
    <mergeCell ref="G32:I32"/>
    <mergeCell ref="J32:L32"/>
    <mergeCell ref="B28:L28"/>
    <mergeCell ref="J30:L30"/>
    <mergeCell ref="G30:I30"/>
    <mergeCell ref="D30:F30"/>
    <mergeCell ref="B30:C30"/>
    <mergeCell ref="B31:C31"/>
    <mergeCell ref="D31:F31"/>
    <mergeCell ref="G31:I31"/>
    <mergeCell ref="J31:L31"/>
  </mergeCell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3A052F1-FD25-4BF0-B556-2A349919B4CF}">
          <x14:formula1>
            <xm:f>Input_data!$F$2:$I$2</xm:f>
          </x14:formula1>
          <xm:sqref>F8:G8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77"/>
  <sheetViews>
    <sheetView zoomScale="115" zoomScaleNormal="115" workbookViewId="0">
      <pane xSplit="1" topLeftCell="B1" activePane="topRight" state="frozen"/>
      <selection activeCell="G31" sqref="G31:I31"/>
      <selection pane="topRight" activeCell="G31" sqref="G31:I31"/>
    </sheetView>
  </sheetViews>
  <sheetFormatPr defaultRowHeight="15" x14ac:dyDescent="0.25"/>
  <cols>
    <col min="1" max="1" width="13.140625" customWidth="1"/>
    <col min="2" max="2" width="46.42578125" bestFit="1" customWidth="1"/>
    <col min="5" max="5" width="16.5703125" bestFit="1" customWidth="1"/>
    <col min="9" max="9" width="24.85546875" bestFit="1" customWidth="1"/>
  </cols>
  <sheetData>
    <row r="1" spans="1:12" x14ac:dyDescent="0.25">
      <c r="A1" t="s">
        <v>135</v>
      </c>
      <c r="B1" t="s">
        <v>136</v>
      </c>
      <c r="C1" t="s">
        <v>4</v>
      </c>
      <c r="D1" t="s">
        <v>74</v>
      </c>
      <c r="E1" t="s">
        <v>5</v>
      </c>
      <c r="H1" t="s">
        <v>135</v>
      </c>
      <c r="I1" t="s">
        <v>136</v>
      </c>
      <c r="J1" t="s">
        <v>4</v>
      </c>
      <c r="K1" t="s">
        <v>74</v>
      </c>
      <c r="L1" t="s">
        <v>5</v>
      </c>
    </row>
    <row r="2" spans="1:12" x14ac:dyDescent="0.25">
      <c r="A2" t="s">
        <v>260</v>
      </c>
      <c r="B2" s="8"/>
      <c r="C2">
        <f>RADIANS(FoVy_andtol)</f>
        <v>1.0053096491487339</v>
      </c>
      <c r="D2" t="s">
        <v>185</v>
      </c>
      <c r="E2" t="s">
        <v>261</v>
      </c>
      <c r="F2" t="s">
        <v>78</v>
      </c>
    </row>
    <row r="3" spans="1:12" x14ac:dyDescent="0.25">
      <c r="A3" t="s">
        <v>262</v>
      </c>
      <c r="B3" s="8"/>
      <c r="C3">
        <f>RADIANS(FoVx_andtol)</f>
        <v>1.0053096491487339</v>
      </c>
      <c r="D3" t="s">
        <v>185</v>
      </c>
      <c r="E3" t="s">
        <v>261</v>
      </c>
      <c r="F3" t="s">
        <v>78</v>
      </c>
    </row>
    <row r="4" spans="1:12" x14ac:dyDescent="0.25">
      <c r="A4" t="s">
        <v>263</v>
      </c>
      <c r="B4" s="26" t="s">
        <v>264</v>
      </c>
      <c r="C4">
        <f>RADIANS(Input_data!E21)</f>
        <v>0</v>
      </c>
      <c r="D4" t="s">
        <v>78</v>
      </c>
      <c r="E4" t="s">
        <v>265</v>
      </c>
    </row>
    <row r="5" spans="1:12" x14ac:dyDescent="0.25">
      <c r="A5" t="s">
        <v>266</v>
      </c>
      <c r="B5" s="8"/>
      <c r="C5">
        <f>RADIANS(Input_data!E22)</f>
        <v>0.12217304763960307</v>
      </c>
      <c r="D5" t="s">
        <v>78</v>
      </c>
      <c r="E5" t="s">
        <v>267</v>
      </c>
    </row>
    <row r="6" spans="1:12" x14ac:dyDescent="0.25">
      <c r="A6" t="s">
        <v>268</v>
      </c>
      <c r="B6" s="9" t="s">
        <v>269</v>
      </c>
      <c r="C6">
        <f>Tx_Pyramid!C2</f>
        <v>1.7730000000000001</v>
      </c>
      <c r="D6" t="s">
        <v>87</v>
      </c>
    </row>
    <row r="7" spans="1:12" ht="18" x14ac:dyDescent="0.35">
      <c r="A7" t="s">
        <v>254</v>
      </c>
      <c r="B7" s="9" t="s">
        <v>255</v>
      </c>
      <c r="C7" s="9">
        <f>'R&amp;T_Pyramids'!C15</f>
        <v>0.18601860976790047</v>
      </c>
      <c r="D7" t="s">
        <v>87</v>
      </c>
    </row>
    <row r="8" spans="1:12" x14ac:dyDescent="0.25">
      <c r="B8" s="9"/>
      <c r="C8" s="9"/>
    </row>
    <row r="9" spans="1:12" x14ac:dyDescent="0.25">
      <c r="B9" s="9"/>
      <c r="C9" s="9"/>
    </row>
    <row r="10" spans="1:12" x14ac:dyDescent="0.25">
      <c r="B10" s="9"/>
      <c r="C10" s="9"/>
    </row>
    <row r="11" spans="1:12" x14ac:dyDescent="0.25">
      <c r="A11" t="s">
        <v>380</v>
      </c>
      <c r="H11" t="s">
        <v>381</v>
      </c>
    </row>
    <row r="12" spans="1:12" ht="18" x14ac:dyDescent="0.35">
      <c r="A12" t="s">
        <v>272</v>
      </c>
      <c r="B12" s="9" t="s">
        <v>382</v>
      </c>
      <c r="C12">
        <f>C7</f>
        <v>0.18601860976790047</v>
      </c>
      <c r="D12" t="s">
        <v>87</v>
      </c>
      <c r="I12" s="9"/>
    </row>
    <row r="13" spans="1:12" ht="18" x14ac:dyDescent="0.35">
      <c r="A13" t="s">
        <v>137</v>
      </c>
      <c r="B13" s="9" t="s">
        <v>274</v>
      </c>
      <c r="C13">
        <f>Tx_Pyramid!C2+C12</f>
        <v>1.9590186097679005</v>
      </c>
      <c r="D13" t="s">
        <v>87</v>
      </c>
      <c r="I13" s="9"/>
    </row>
    <row r="14" spans="1:12" ht="18" x14ac:dyDescent="0.35">
      <c r="A14" t="s">
        <v>275</v>
      </c>
      <c r="B14" s="9" t="s">
        <v>383</v>
      </c>
      <c r="C14">
        <f>'R&amp;T_Pyramids'!C5</f>
        <v>0</v>
      </c>
      <c r="D14" t="s">
        <v>87</v>
      </c>
      <c r="E14" t="s">
        <v>98</v>
      </c>
      <c r="I14" s="9"/>
    </row>
    <row r="15" spans="1:12" ht="18" x14ac:dyDescent="0.35">
      <c r="A15" t="s">
        <v>277</v>
      </c>
      <c r="B15" s="9" t="s">
        <v>384</v>
      </c>
      <c r="C15">
        <f>'R&amp;T_Pyramids'!C11</f>
        <v>0.18601860976790047</v>
      </c>
      <c r="D15" t="s">
        <v>87</v>
      </c>
      <c r="E15" t="s">
        <v>96</v>
      </c>
      <c r="I15" s="9"/>
    </row>
    <row r="16" spans="1:12" x14ac:dyDescent="0.25">
      <c r="A16" t="s">
        <v>279</v>
      </c>
      <c r="B16" s="9" t="s">
        <v>280</v>
      </c>
      <c r="C16">
        <f>C6+C15</f>
        <v>1.9590186097679005</v>
      </c>
      <c r="D16" t="s">
        <v>87</v>
      </c>
      <c r="I16" s="9"/>
    </row>
    <row r="17" spans="1:11" x14ac:dyDescent="0.25">
      <c r="B17" s="9"/>
      <c r="I17" s="9"/>
    </row>
    <row r="18" spans="1:11" x14ac:dyDescent="0.25">
      <c r="A18" t="s">
        <v>281</v>
      </c>
      <c r="B18" s="9" t="s">
        <v>282</v>
      </c>
      <c r="C18">
        <f>C13*SIN(C58)/SIN(C59)</f>
        <v>2.2355399706297359</v>
      </c>
      <c r="D18" t="s">
        <v>87</v>
      </c>
      <c r="H18" t="s">
        <v>283</v>
      </c>
      <c r="I18" s="9" t="s">
        <v>284</v>
      </c>
      <c r="J18">
        <f>C13*SIN(J58)/SIN(J59)</f>
        <v>2.0941799280348636</v>
      </c>
      <c r="K18" t="s">
        <v>87</v>
      </c>
    </row>
    <row r="19" spans="1:11" x14ac:dyDescent="0.25">
      <c r="A19" t="s">
        <v>285</v>
      </c>
      <c r="B19" s="9" t="s">
        <v>286</v>
      </c>
      <c r="C19">
        <f>C13*SIN(C61)/SIGN(C60)</f>
        <v>1.9590186097679005</v>
      </c>
      <c r="D19" t="s">
        <v>87</v>
      </c>
      <c r="H19" t="s">
        <v>287</v>
      </c>
      <c r="I19" s="9" t="s">
        <v>288</v>
      </c>
      <c r="J19">
        <f>C13*SIN(J61)/SIGN(J60)</f>
        <v>1.9444163821188627</v>
      </c>
      <c r="K19" t="s">
        <v>87</v>
      </c>
    </row>
    <row r="20" spans="1:11" x14ac:dyDescent="0.25">
      <c r="A20" t="s">
        <v>289</v>
      </c>
      <c r="B20" s="9" t="s">
        <v>290</v>
      </c>
      <c r="C20">
        <f>C13*SIN(C3)/SIN(C59)</f>
        <v>1.8875288257786409</v>
      </c>
      <c r="D20" t="s">
        <v>87</v>
      </c>
      <c r="H20" t="s">
        <v>291</v>
      </c>
      <c r="I20" s="9" t="s">
        <v>292</v>
      </c>
      <c r="J20">
        <f>C13*SIN(C2)/SIN(J59)</f>
        <v>1.7814532768493407</v>
      </c>
      <c r="K20" t="s">
        <v>87</v>
      </c>
    </row>
    <row r="21" spans="1:11" x14ac:dyDescent="0.25">
      <c r="A21" t="s">
        <v>293</v>
      </c>
      <c r="B21" s="9" t="s">
        <v>290</v>
      </c>
      <c r="C21">
        <f>C13*SIN(C3)/SIGN(C60)</f>
        <v>1.6540541188051732</v>
      </c>
      <c r="D21" t="s">
        <v>87</v>
      </c>
      <c r="H21" t="s">
        <v>294</v>
      </c>
      <c r="I21" s="9" t="s">
        <v>295</v>
      </c>
      <c r="J21">
        <f>C13*SIN(C2)/SIN(J60)</f>
        <v>2.039363709832728</v>
      </c>
      <c r="K21" t="s">
        <v>87</v>
      </c>
    </row>
    <row r="22" spans="1:11" x14ac:dyDescent="0.25">
      <c r="B22" s="9"/>
      <c r="I22" s="9"/>
    </row>
    <row r="23" spans="1:11" x14ac:dyDescent="0.25">
      <c r="A23" s="9"/>
      <c r="B23" s="9"/>
      <c r="I23" s="9"/>
    </row>
    <row r="24" spans="1:11" x14ac:dyDescent="0.25">
      <c r="A24" s="9" t="s">
        <v>296</v>
      </c>
      <c r="B24" s="9" t="s">
        <v>297</v>
      </c>
      <c r="C24">
        <f>C16*SIN(C66)/SIN(PI()-C2/2-C66)</f>
        <v>2.0941799280348636</v>
      </c>
      <c r="D24" t="s">
        <v>87</v>
      </c>
      <c r="I24" s="9"/>
    </row>
    <row r="25" spans="1:11" x14ac:dyDescent="0.25">
      <c r="A25" t="s">
        <v>298</v>
      </c>
      <c r="B25" s="9" t="s">
        <v>299</v>
      </c>
      <c r="C25">
        <f>C16*SIN(C67)/SIN(C68)</f>
        <v>2.3973654558303639</v>
      </c>
      <c r="D25" t="s">
        <v>87</v>
      </c>
      <c r="I25" s="9"/>
    </row>
    <row r="26" spans="1:11" x14ac:dyDescent="0.25">
      <c r="A26" t="s">
        <v>287</v>
      </c>
      <c r="B26" s="9" t="s">
        <v>300</v>
      </c>
      <c r="C26">
        <f>C13*SIN(PI()/2+C5)/SIN(C69)</f>
        <v>2.3973654558303639</v>
      </c>
      <c r="D26" t="s">
        <v>87</v>
      </c>
      <c r="I26" s="9"/>
    </row>
    <row r="27" spans="1:11" x14ac:dyDescent="0.25">
      <c r="A27" t="s">
        <v>283</v>
      </c>
      <c r="B27" s="9" t="s">
        <v>301</v>
      </c>
      <c r="C27">
        <f>C13*SIN(C70)/SIN(C71)</f>
        <v>2.0941799280348636</v>
      </c>
      <c r="D27" t="s">
        <v>87</v>
      </c>
      <c r="I27" s="9"/>
    </row>
    <row r="28" spans="1:11" x14ac:dyDescent="0.25">
      <c r="A28" t="s">
        <v>302</v>
      </c>
      <c r="B28" s="9" t="s">
        <v>303</v>
      </c>
      <c r="C28">
        <f>C26-C25</f>
        <v>0</v>
      </c>
      <c r="D28" t="s">
        <v>87</v>
      </c>
      <c r="E28" t="s">
        <v>304</v>
      </c>
      <c r="I28" s="9"/>
    </row>
    <row r="29" spans="1:11" x14ac:dyDescent="0.25">
      <c r="A29" t="s">
        <v>305</v>
      </c>
      <c r="B29" s="9" t="s">
        <v>306</v>
      </c>
      <c r="C29">
        <f>C27-C24</f>
        <v>0</v>
      </c>
      <c r="D29" t="s">
        <v>87</v>
      </c>
      <c r="E29" t="s">
        <v>304</v>
      </c>
      <c r="I29" s="9"/>
    </row>
    <row r="30" spans="1:11" x14ac:dyDescent="0.25">
      <c r="A30" t="s">
        <v>307</v>
      </c>
      <c r="B30" s="9" t="s">
        <v>308</v>
      </c>
      <c r="C30">
        <f>C16/COS(C3/2)</f>
        <v>2.2355399706297363</v>
      </c>
      <c r="D30" t="s">
        <v>87</v>
      </c>
      <c r="I30" s="9"/>
    </row>
    <row r="31" spans="1:11" x14ac:dyDescent="0.25">
      <c r="B31" s="9"/>
      <c r="I31" s="9"/>
    </row>
    <row r="32" spans="1:11" x14ac:dyDescent="0.25">
      <c r="B32" s="9"/>
      <c r="I32" s="9"/>
    </row>
    <row r="33" spans="1:9" ht="18" x14ac:dyDescent="0.35">
      <c r="A33" t="s">
        <v>309</v>
      </c>
      <c r="B33" s="9" t="s">
        <v>310</v>
      </c>
      <c r="C33">
        <f>'R&amp;T_Pyramids'!C3</f>
        <v>5.48</v>
      </c>
      <c r="D33" t="s">
        <v>87</v>
      </c>
      <c r="I33" s="9"/>
    </row>
    <row r="34" spans="1:9" x14ac:dyDescent="0.25">
      <c r="A34" t="s">
        <v>311</v>
      </c>
      <c r="B34" s="9" t="s">
        <v>312</v>
      </c>
      <c r="C34">
        <f>C16*TAN(C3/2)</f>
        <v>1.0769795944521161</v>
      </c>
      <c r="D34" t="s">
        <v>87</v>
      </c>
      <c r="I34" s="9"/>
    </row>
    <row r="35" spans="1:9" x14ac:dyDescent="0.25">
      <c r="A35" t="s">
        <v>313</v>
      </c>
      <c r="B35" s="9" t="s">
        <v>314</v>
      </c>
      <c r="C35">
        <f>C33-C34</f>
        <v>4.4030204055478848</v>
      </c>
      <c r="D35" t="s">
        <v>87</v>
      </c>
      <c r="I35" s="9"/>
    </row>
    <row r="36" spans="1:9" x14ac:dyDescent="0.25">
      <c r="A36" s="28" t="s">
        <v>138</v>
      </c>
      <c r="B36" s="29" t="s">
        <v>139</v>
      </c>
      <c r="C36" s="28">
        <f>C35*SIN(C4)/SIN(PI()-C4-(PI()/2-C3/2))</f>
        <v>0</v>
      </c>
      <c r="D36" t="s">
        <v>87</v>
      </c>
      <c r="I36" s="9"/>
    </row>
    <row r="37" spans="1:9" x14ac:dyDescent="0.25">
      <c r="A37" t="s">
        <v>315</v>
      </c>
      <c r="B37" s="9" t="s">
        <v>316</v>
      </c>
      <c r="C37">
        <f>C34</f>
        <v>1.0769795944521161</v>
      </c>
      <c r="D37" t="s">
        <v>87</v>
      </c>
      <c r="I37" s="9"/>
    </row>
    <row r="38" spans="1:9" x14ac:dyDescent="0.25">
      <c r="A38" t="s">
        <v>317</v>
      </c>
      <c r="B38" s="9" t="s">
        <v>318</v>
      </c>
      <c r="C38">
        <f>C33+C37</f>
        <v>6.5569795944521161</v>
      </c>
      <c r="D38" t="s">
        <v>87</v>
      </c>
      <c r="I38" s="9"/>
    </row>
    <row r="39" spans="1:9" x14ac:dyDescent="0.25">
      <c r="A39" s="28" t="s">
        <v>140</v>
      </c>
      <c r="B39" s="29" t="s">
        <v>141</v>
      </c>
      <c r="C39" s="28">
        <f>C38*SIN(C4)/SIN(C75)</f>
        <v>0</v>
      </c>
      <c r="D39" t="s">
        <v>87</v>
      </c>
      <c r="I39" s="9"/>
    </row>
    <row r="40" spans="1:9" x14ac:dyDescent="0.25">
      <c r="B40" s="9"/>
      <c r="I40" s="9"/>
    </row>
    <row r="41" spans="1:9" x14ac:dyDescent="0.25">
      <c r="A41" t="s">
        <v>319</v>
      </c>
      <c r="B41" s="9" t="s">
        <v>320</v>
      </c>
      <c r="C41">
        <f>C25*TAN(C3/2)</f>
        <v>1.3179628123489835</v>
      </c>
      <c r="D41" t="s">
        <v>87</v>
      </c>
      <c r="I41" s="9"/>
    </row>
    <row r="42" spans="1:9" x14ac:dyDescent="0.25">
      <c r="A42" t="s">
        <v>321</v>
      </c>
      <c r="B42" s="9" t="s">
        <v>322</v>
      </c>
      <c r="C42">
        <f>C33-C41</f>
        <v>4.1620371876510172</v>
      </c>
      <c r="D42" t="s">
        <v>87</v>
      </c>
      <c r="I42" s="9"/>
    </row>
    <row r="43" spans="1:9" x14ac:dyDescent="0.25">
      <c r="A43" s="28" t="s">
        <v>142</v>
      </c>
      <c r="B43" s="29" t="s">
        <v>143</v>
      </c>
      <c r="C43" s="28">
        <f>C42*SIN(C4)/SIN(PI()-C4-(PI()/2-C3/2))</f>
        <v>0</v>
      </c>
      <c r="D43" t="s">
        <v>87</v>
      </c>
      <c r="I43" s="9"/>
    </row>
    <row r="44" spans="1:9" x14ac:dyDescent="0.25">
      <c r="A44" t="s">
        <v>323</v>
      </c>
      <c r="B44" s="9" t="s">
        <v>324</v>
      </c>
      <c r="C44">
        <f>C41</f>
        <v>1.3179628123489835</v>
      </c>
      <c r="D44" t="s">
        <v>87</v>
      </c>
      <c r="I44" s="9"/>
    </row>
    <row r="45" spans="1:9" x14ac:dyDescent="0.25">
      <c r="A45" t="s">
        <v>325</v>
      </c>
      <c r="B45" s="9" t="s">
        <v>326</v>
      </c>
      <c r="C45">
        <f>C33+C44</f>
        <v>6.7979628123489837</v>
      </c>
      <c r="D45" t="s">
        <v>87</v>
      </c>
      <c r="I45" s="9"/>
    </row>
    <row r="46" spans="1:9" x14ac:dyDescent="0.25">
      <c r="A46" s="28" t="s">
        <v>144</v>
      </c>
      <c r="B46" s="29" t="s">
        <v>145</v>
      </c>
      <c r="C46" s="28">
        <f>C45*SIN(C4)/SIN(C77)</f>
        <v>0</v>
      </c>
      <c r="D46" t="s">
        <v>87</v>
      </c>
      <c r="I46" s="9"/>
    </row>
    <row r="47" spans="1:9" x14ac:dyDescent="0.25">
      <c r="B47" s="9"/>
      <c r="I47" s="9"/>
    </row>
    <row r="48" spans="1:9" x14ac:dyDescent="0.25">
      <c r="A48" t="s">
        <v>327</v>
      </c>
      <c r="B48" s="9" t="s">
        <v>328</v>
      </c>
      <c r="C48">
        <f>C24*TAN(C3/2)</f>
        <v>1.1512851579658867</v>
      </c>
      <c r="D48" t="s">
        <v>87</v>
      </c>
      <c r="I48" s="9"/>
    </row>
    <row r="49" spans="1:12" x14ac:dyDescent="0.25">
      <c r="A49" t="s">
        <v>329</v>
      </c>
      <c r="B49" s="9" t="s">
        <v>330</v>
      </c>
      <c r="C49">
        <f>C33-C48</f>
        <v>4.3287148420341133</v>
      </c>
      <c r="D49" t="s">
        <v>87</v>
      </c>
      <c r="I49" s="9"/>
    </row>
    <row r="50" spans="1:12" x14ac:dyDescent="0.25">
      <c r="A50" s="28" t="s">
        <v>146</v>
      </c>
      <c r="B50" s="29" t="s">
        <v>147</v>
      </c>
      <c r="C50" s="28">
        <f>C49*SIN(C4)/SIN(PI()-C4-(PI()/2-C3/2))</f>
        <v>0</v>
      </c>
      <c r="D50" t="s">
        <v>87</v>
      </c>
      <c r="I50" s="9"/>
    </row>
    <row r="51" spans="1:12" x14ac:dyDescent="0.25">
      <c r="A51" t="s">
        <v>331</v>
      </c>
      <c r="B51" s="9" t="s">
        <v>332</v>
      </c>
      <c r="C51">
        <f>C48</f>
        <v>1.1512851579658867</v>
      </c>
      <c r="D51" t="s">
        <v>87</v>
      </c>
      <c r="I51" s="9"/>
    </row>
    <row r="52" spans="1:12" x14ac:dyDescent="0.25">
      <c r="A52" t="s">
        <v>333</v>
      </c>
      <c r="B52" s="9" t="s">
        <v>334</v>
      </c>
      <c r="C52">
        <f>C33+C51</f>
        <v>6.6312851579658876</v>
      </c>
      <c r="D52" t="s">
        <v>87</v>
      </c>
      <c r="I52" s="9"/>
    </row>
    <row r="53" spans="1:12" x14ac:dyDescent="0.25">
      <c r="A53" s="28" t="s">
        <v>148</v>
      </c>
      <c r="B53" s="29" t="s">
        <v>149</v>
      </c>
      <c r="C53" s="28">
        <f>C52*SIN(C4)/SIN(C77)</f>
        <v>0</v>
      </c>
      <c r="D53" t="s">
        <v>87</v>
      </c>
      <c r="I53" s="9"/>
    </row>
    <row r="54" spans="1:12" x14ac:dyDescent="0.25">
      <c r="B54" s="9"/>
      <c r="I54" s="9"/>
    </row>
    <row r="56" spans="1:12" x14ac:dyDescent="0.25">
      <c r="A56" t="s">
        <v>335</v>
      </c>
      <c r="B56" t="s">
        <v>336</v>
      </c>
      <c r="C56">
        <f>(C3/2)</f>
        <v>0.50265482457436694</v>
      </c>
      <c r="D56" t="s">
        <v>185</v>
      </c>
      <c r="E56" s="9" t="s">
        <v>337</v>
      </c>
      <c r="H56" t="s">
        <v>338</v>
      </c>
      <c r="I56" t="s">
        <v>339</v>
      </c>
      <c r="J56">
        <f>(C2/2)</f>
        <v>0.50265482457436694</v>
      </c>
      <c r="K56" t="s">
        <v>185</v>
      </c>
      <c r="L56" s="9" t="s">
        <v>337</v>
      </c>
    </row>
    <row r="57" spans="1:12" x14ac:dyDescent="0.25">
      <c r="A57" t="s">
        <v>340</v>
      </c>
      <c r="B57" s="9" t="s">
        <v>341</v>
      </c>
      <c r="C57">
        <f>C4</f>
        <v>0</v>
      </c>
      <c r="E57" s="9"/>
      <c r="H57" t="s">
        <v>342</v>
      </c>
      <c r="I57" s="9" t="s">
        <v>343</v>
      </c>
      <c r="J57">
        <f>C5</f>
        <v>0.12217304763960307</v>
      </c>
      <c r="L57" s="9"/>
    </row>
    <row r="58" spans="1:12" x14ac:dyDescent="0.25">
      <c r="B58" s="9" t="s">
        <v>345</v>
      </c>
      <c r="C58">
        <f>(PI()/2-C57)</f>
        <v>1.5707963267948966</v>
      </c>
      <c r="D58" t="s">
        <v>185</v>
      </c>
      <c r="E58" t="s">
        <v>346</v>
      </c>
      <c r="H58" t="s">
        <v>347</v>
      </c>
      <c r="I58" s="9" t="s">
        <v>345</v>
      </c>
      <c r="J58">
        <f>(PI()/2-J57)</f>
        <v>1.4486232791552935</v>
      </c>
      <c r="K58" t="s">
        <v>185</v>
      </c>
      <c r="L58" t="s">
        <v>346</v>
      </c>
    </row>
    <row r="59" spans="1:12" x14ac:dyDescent="0.25">
      <c r="A59" t="s">
        <v>348</v>
      </c>
      <c r="B59" s="9" t="s">
        <v>349</v>
      </c>
      <c r="C59">
        <f>(PI()-C56-C58)</f>
        <v>1.0681415022205298</v>
      </c>
      <c r="D59" t="s">
        <v>185</v>
      </c>
      <c r="H59" t="s">
        <v>350</v>
      </c>
      <c r="I59" s="9" t="s">
        <v>351</v>
      </c>
      <c r="J59">
        <f>(PI()-J56-J58)</f>
        <v>1.1903145498601329</v>
      </c>
      <c r="K59" t="s">
        <v>185</v>
      </c>
    </row>
    <row r="60" spans="1:12" x14ac:dyDescent="0.25">
      <c r="A60" t="s">
        <v>352</v>
      </c>
      <c r="B60" s="9" t="s">
        <v>353</v>
      </c>
      <c r="C60">
        <f>(PI()-C3-C59)</f>
        <v>1.0681415022205294</v>
      </c>
      <c r="D60" t="s">
        <v>185</v>
      </c>
      <c r="H60" t="s">
        <v>354</v>
      </c>
      <c r="I60" s="9" t="s">
        <v>355</v>
      </c>
      <c r="J60">
        <f>(PI()-C2-J59)</f>
        <v>0.94596845458092638</v>
      </c>
      <c r="K60" t="s">
        <v>185</v>
      </c>
    </row>
    <row r="61" spans="1:12" x14ac:dyDescent="0.25">
      <c r="A61" t="s">
        <v>356</v>
      </c>
      <c r="B61" s="9" t="s">
        <v>357</v>
      </c>
      <c r="C61">
        <f>(PI()-C58)</f>
        <v>1.5707963267948966</v>
      </c>
      <c r="D61" t="s">
        <v>185</v>
      </c>
      <c r="H61" t="s">
        <v>358</v>
      </c>
      <c r="I61" s="9" t="s">
        <v>359</v>
      </c>
      <c r="J61">
        <f>(PI()-J58)</f>
        <v>1.6929693744344996</v>
      </c>
      <c r="K61" t="s">
        <v>185</v>
      </c>
    </row>
    <row r="63" spans="1:12" x14ac:dyDescent="0.25">
      <c r="A63" t="s">
        <v>360</v>
      </c>
      <c r="B63" s="27" t="s">
        <v>361</v>
      </c>
      <c r="C63">
        <f>PI()/2</f>
        <v>1.5707963267948966</v>
      </c>
      <c r="D63" t="s">
        <v>185</v>
      </c>
    </row>
    <row r="64" spans="1:12" x14ac:dyDescent="0.25">
      <c r="A64" t="s">
        <v>362</v>
      </c>
      <c r="B64" s="27" t="s">
        <v>361</v>
      </c>
      <c r="C64">
        <f>PI()/2</f>
        <v>1.5707963267948966</v>
      </c>
      <c r="D64" t="s">
        <v>185</v>
      </c>
    </row>
    <row r="66" spans="1:4" x14ac:dyDescent="0.25">
      <c r="A66" t="s">
        <v>363</v>
      </c>
      <c r="B66" s="9" t="s">
        <v>364</v>
      </c>
      <c r="C66">
        <f>PI()/2-C5</f>
        <v>1.4486232791552935</v>
      </c>
      <c r="D66" t="s">
        <v>185</v>
      </c>
    </row>
    <row r="67" spans="1:4" x14ac:dyDescent="0.25">
      <c r="A67" t="s">
        <v>365</v>
      </c>
      <c r="B67" s="9" t="s">
        <v>366</v>
      </c>
      <c r="C67">
        <f>PI()/2+C5</f>
        <v>1.6929693744344996</v>
      </c>
      <c r="D67" t="s">
        <v>185</v>
      </c>
    </row>
    <row r="68" spans="1:4" x14ac:dyDescent="0.25">
      <c r="A68" t="s">
        <v>367</v>
      </c>
      <c r="B68" s="9" t="s">
        <v>368</v>
      </c>
      <c r="C68">
        <f>PI()-C67-C2/2</f>
        <v>0.9459684545809266</v>
      </c>
      <c r="D68" t="s">
        <v>185</v>
      </c>
    </row>
    <row r="69" spans="1:4" x14ac:dyDescent="0.25">
      <c r="A69" t="s">
        <v>369</v>
      </c>
      <c r="B69" s="9" t="s">
        <v>370</v>
      </c>
      <c r="C69">
        <f>PI()/2-C2/2-C5</f>
        <v>0.9459684545809266</v>
      </c>
      <c r="D69" t="s">
        <v>185</v>
      </c>
    </row>
    <row r="70" spans="1:4" x14ac:dyDescent="0.25">
      <c r="A70" t="s">
        <v>371</v>
      </c>
      <c r="B70" s="9" t="s">
        <v>364</v>
      </c>
      <c r="C70">
        <f>PI()/2-C5</f>
        <v>1.4486232791552935</v>
      </c>
      <c r="D70" t="s">
        <v>185</v>
      </c>
    </row>
    <row r="71" spans="1:4" x14ac:dyDescent="0.25">
      <c r="A71" t="s">
        <v>350</v>
      </c>
      <c r="B71" s="9" t="s">
        <v>372</v>
      </c>
      <c r="C71">
        <f>PI()-C70-C2/2</f>
        <v>1.1903145498601326</v>
      </c>
      <c r="D71" t="s">
        <v>185</v>
      </c>
    </row>
    <row r="72" spans="1:4" x14ac:dyDescent="0.25">
      <c r="A72" t="s">
        <v>373</v>
      </c>
      <c r="B72" s="9" t="s">
        <v>361</v>
      </c>
      <c r="C72">
        <f>PI()/2</f>
        <v>1.5707963267948966</v>
      </c>
      <c r="D72" t="s">
        <v>185</v>
      </c>
    </row>
    <row r="74" spans="1:4" x14ac:dyDescent="0.25">
      <c r="A74" t="s">
        <v>374</v>
      </c>
      <c r="B74" s="9" t="s">
        <v>375</v>
      </c>
      <c r="C74">
        <f>PI()/2+C3/2</f>
        <v>2.0734511513692633</v>
      </c>
      <c r="D74" t="s">
        <v>185</v>
      </c>
    </row>
    <row r="75" spans="1:4" x14ac:dyDescent="0.25">
      <c r="A75" t="s">
        <v>376</v>
      </c>
      <c r="B75" s="9" t="s">
        <v>377</v>
      </c>
      <c r="C75">
        <f>PI()-C4-C74</f>
        <v>1.0681415022205298</v>
      </c>
      <c r="D75" t="s">
        <v>185</v>
      </c>
    </row>
    <row r="77" spans="1:4" x14ac:dyDescent="0.25">
      <c r="A77" t="s">
        <v>378</v>
      </c>
      <c r="B77" s="9" t="s">
        <v>379</v>
      </c>
      <c r="C77">
        <f>PI()-C4-(PI()/2+Tx_Pyramid!C17)</f>
        <v>1.1218520392339961</v>
      </c>
      <c r="D77" t="s">
        <v>185</v>
      </c>
    </row>
  </sheetData>
  <sheetProtection algorithmName="SHA-512" hashValue="X1Kmnq9zdjlIfF/CAi8MtZy+UeqPHJsZn/r0PPWM/bryM0Ao7cjo2bi0QtAM49q36n/sGUUbQ0RQFr1LavhFcQ==" saltValue="UJ8h22/kdb7xAs9/w+r3xg==" spinCount="100000" sheet="1" objects="1" scenarios="1"/>
  <conditionalFormatting sqref="A1:XFD1048576">
    <cfRule type="cellIs" dxfId="27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4"/>
  <sheetViews>
    <sheetView zoomScale="110" zoomScaleNormal="110" workbookViewId="0">
      <selection activeCell="G31" sqref="G31:I31"/>
    </sheetView>
  </sheetViews>
  <sheetFormatPr defaultRowHeight="15" x14ac:dyDescent="0.25"/>
  <cols>
    <col min="1" max="1" width="10.140625" customWidth="1"/>
    <col min="2" max="2" width="46.7109375" bestFit="1" customWidth="1"/>
    <col min="3" max="3" width="12" bestFit="1" customWidth="1"/>
    <col min="4" max="4" width="6.140625" customWidth="1"/>
    <col min="5" max="5" width="13.7109375" bestFit="1" customWidth="1"/>
  </cols>
  <sheetData>
    <row r="1" spans="1:5" x14ac:dyDescent="0.25">
      <c r="A1" t="s">
        <v>135</v>
      </c>
      <c r="B1" t="s">
        <v>136</v>
      </c>
      <c r="C1" t="s">
        <v>4</v>
      </c>
      <c r="D1" t="s">
        <v>74</v>
      </c>
      <c r="E1" t="s">
        <v>5</v>
      </c>
    </row>
    <row r="2" spans="1:5" x14ac:dyDescent="0.25">
      <c r="A2" t="s">
        <v>137</v>
      </c>
      <c r="C2">
        <f>'CG_p&amp;r_transmitter'!C13</f>
        <v>1.9590186097679005</v>
      </c>
    </row>
    <row r="4" spans="1:5" x14ac:dyDescent="0.25">
      <c r="A4" t="s">
        <v>138</v>
      </c>
      <c r="B4" s="9" t="s">
        <v>139</v>
      </c>
      <c r="C4">
        <f>'CG_p&amp;r_transmitter'!C36</f>
        <v>0</v>
      </c>
      <c r="D4" t="s">
        <v>87</v>
      </c>
    </row>
    <row r="5" spans="1:5" x14ac:dyDescent="0.25">
      <c r="A5" t="s">
        <v>140</v>
      </c>
      <c r="B5" s="9" t="s">
        <v>141</v>
      </c>
      <c r="C5">
        <f>'CG_p&amp;r_transmitter'!C39</f>
        <v>0</v>
      </c>
      <c r="D5" t="s">
        <v>87</v>
      </c>
    </row>
    <row r="6" spans="1:5" x14ac:dyDescent="0.25">
      <c r="A6" t="s">
        <v>142</v>
      </c>
      <c r="B6" s="9" t="s">
        <v>143</v>
      </c>
      <c r="C6">
        <f>'CG_p&amp;r_transmitter'!C43</f>
        <v>0</v>
      </c>
      <c r="D6" t="s">
        <v>87</v>
      </c>
    </row>
    <row r="7" spans="1:5" x14ac:dyDescent="0.25">
      <c r="A7" t="s">
        <v>144</v>
      </c>
      <c r="B7" s="9" t="s">
        <v>145</v>
      </c>
      <c r="C7">
        <f>'CG_p&amp;r_transmitter'!C46</f>
        <v>0</v>
      </c>
      <c r="D7" t="s">
        <v>87</v>
      </c>
    </row>
    <row r="8" spans="1:5" x14ac:dyDescent="0.25">
      <c r="A8" t="s">
        <v>146</v>
      </c>
      <c r="B8" s="9" t="s">
        <v>147</v>
      </c>
      <c r="C8">
        <f>'CG_p&amp;r_transmitter'!C50</f>
        <v>0</v>
      </c>
      <c r="D8" t="s">
        <v>87</v>
      </c>
    </row>
    <row r="9" spans="1:5" x14ac:dyDescent="0.25">
      <c r="A9" t="s">
        <v>148</v>
      </c>
      <c r="B9" s="9" t="s">
        <v>149</v>
      </c>
      <c r="C9">
        <f>'CG_p&amp;r_transmitter'!C53</f>
        <v>0</v>
      </c>
      <c r="D9" t="s">
        <v>87</v>
      </c>
    </row>
    <row r="12" spans="1:5" x14ac:dyDescent="0.25">
      <c r="A12" t="s">
        <v>150</v>
      </c>
      <c r="B12" s="9" t="s">
        <v>151</v>
      </c>
      <c r="C12">
        <f>Tx_Pyramid!C5</f>
        <v>2.0232642753690437</v>
      </c>
      <c r="D12" t="s">
        <v>87</v>
      </c>
    </row>
    <row r="13" spans="1:5" x14ac:dyDescent="0.25">
      <c r="A13" t="s">
        <v>152</v>
      </c>
      <c r="B13" s="9" t="s">
        <v>153</v>
      </c>
      <c r="C13">
        <f>Tx_Pyramid!C9</f>
        <v>2.0232642753690437</v>
      </c>
      <c r="D13" t="s">
        <v>87</v>
      </c>
    </row>
    <row r="14" spans="1:5" x14ac:dyDescent="0.25">
      <c r="A14" t="s">
        <v>154</v>
      </c>
      <c r="B14" s="9" t="s">
        <v>155</v>
      </c>
      <c r="C14" s="32">
        <f>'CG_p&amp;r_transmitter'!C24-C12</f>
        <v>7.0915652665819895E-2</v>
      </c>
      <c r="D14" t="s">
        <v>87</v>
      </c>
    </row>
    <row r="15" spans="1:5" x14ac:dyDescent="0.25">
      <c r="A15" t="s">
        <v>156</v>
      </c>
      <c r="B15" s="9" t="s">
        <v>157</v>
      </c>
      <c r="C15" s="32">
        <f>'CG_p&amp;r_transmitter'!C25-Tx_final!C12</f>
        <v>0.37410118046132013</v>
      </c>
      <c r="D15" t="s">
        <v>87</v>
      </c>
    </row>
    <row r="16" spans="1:5" x14ac:dyDescent="0.25">
      <c r="A16" t="s">
        <v>158</v>
      </c>
      <c r="B16" s="9" t="s">
        <v>159</v>
      </c>
      <c r="C16" s="32">
        <f>'CG_p&amp;r_transmitter'!C30-Tx_final!C13</f>
        <v>0.21227569526069257</v>
      </c>
      <c r="D16" t="s">
        <v>87</v>
      </c>
    </row>
    <row r="17" spans="1:5" x14ac:dyDescent="0.25">
      <c r="A17" t="s">
        <v>160</v>
      </c>
      <c r="B17" s="9" t="s">
        <v>161</v>
      </c>
      <c r="C17" s="32">
        <f>'CG_p&amp;r_transmitter'!C30-Tx_final!C13</f>
        <v>0.21227569526069257</v>
      </c>
      <c r="D17" t="s">
        <v>87</v>
      </c>
    </row>
    <row r="18" spans="1:5" x14ac:dyDescent="0.25">
      <c r="B18" s="9"/>
    </row>
    <row r="19" spans="1:5" x14ac:dyDescent="0.25">
      <c r="B19" s="9"/>
    </row>
    <row r="20" spans="1:5" x14ac:dyDescent="0.25">
      <c r="A20" t="s">
        <v>162</v>
      </c>
      <c r="B20" s="9" t="s">
        <v>163</v>
      </c>
      <c r="C20">
        <f>'CG_p&amp;r_transmitter'!C24/COS(Tx_Pyramid!C17)</f>
        <v>2.324527081907048</v>
      </c>
      <c r="D20" t="s">
        <v>87</v>
      </c>
    </row>
    <row r="21" spans="1:5" x14ac:dyDescent="0.25">
      <c r="A21" t="s">
        <v>164</v>
      </c>
      <c r="B21" s="9" t="s">
        <v>165</v>
      </c>
      <c r="C21">
        <f>'CG_p&amp;r_transmitter'!C25/COS(Tx_Pyramid!C17)</f>
        <v>2.6610611880591675</v>
      </c>
      <c r="D21" t="s">
        <v>87</v>
      </c>
    </row>
    <row r="22" spans="1:5" x14ac:dyDescent="0.25">
      <c r="B22" s="9"/>
    </row>
    <row r="23" spans="1:5" x14ac:dyDescent="0.25">
      <c r="B23" s="9"/>
    </row>
    <row r="24" spans="1:5" x14ac:dyDescent="0.25">
      <c r="A24" t="s">
        <v>166</v>
      </c>
      <c r="B24" s="9" t="s">
        <v>167</v>
      </c>
      <c r="C24">
        <f>C20+C8</f>
        <v>2.324527081907048</v>
      </c>
      <c r="D24" t="s">
        <v>87</v>
      </c>
    </row>
    <row r="25" spans="1:5" x14ac:dyDescent="0.25">
      <c r="A25" t="s">
        <v>168</v>
      </c>
      <c r="B25" s="9" t="s">
        <v>169</v>
      </c>
      <c r="C25">
        <f>C21+C6</f>
        <v>2.6610611880591675</v>
      </c>
      <c r="D25" t="s">
        <v>87</v>
      </c>
    </row>
    <row r="26" spans="1:5" x14ac:dyDescent="0.25">
      <c r="A26" t="s">
        <v>170</v>
      </c>
      <c r="B26" s="9" t="s">
        <v>171</v>
      </c>
      <c r="C26">
        <f>C21+C7</f>
        <v>2.6610611880591675</v>
      </c>
      <c r="D26" t="s">
        <v>87</v>
      </c>
    </row>
    <row r="27" spans="1:5" x14ac:dyDescent="0.25">
      <c r="A27" t="s">
        <v>172</v>
      </c>
      <c r="B27" s="9" t="s">
        <v>173</v>
      </c>
      <c r="C27">
        <f>C20+C9</f>
        <v>2.324527081907048</v>
      </c>
      <c r="D27" t="s">
        <v>87</v>
      </c>
    </row>
    <row r="30" spans="1:5" x14ac:dyDescent="0.25">
      <c r="A30" t="s">
        <v>174</v>
      </c>
      <c r="B30" s="9" t="s">
        <v>175</v>
      </c>
      <c r="C30">
        <f>SQRT(C24^2+$C$2^2-2*C24*$C$2*COS(Tx_Pyramid!$C$13))</f>
        <v>1.4321376053519077</v>
      </c>
      <c r="D30" t="s">
        <v>87</v>
      </c>
      <c r="E30" t="s">
        <v>176</v>
      </c>
    </row>
    <row r="31" spans="1:5" x14ac:dyDescent="0.25">
      <c r="A31" t="s">
        <v>177</v>
      </c>
      <c r="B31" s="9" t="s">
        <v>178</v>
      </c>
      <c r="C31">
        <f>SQRT(C25^2+$C$2^2-2*C25*$C$2*COS(Tx_Pyramid!$C$13))</f>
        <v>1.6394757571227772</v>
      </c>
      <c r="D31" t="s">
        <v>87</v>
      </c>
      <c r="E31" t="s">
        <v>176</v>
      </c>
    </row>
    <row r="32" spans="1:5" x14ac:dyDescent="0.25">
      <c r="A32" t="s">
        <v>179</v>
      </c>
      <c r="B32" s="9" t="s">
        <v>180</v>
      </c>
      <c r="C32">
        <f>SQRT(C26^2+$C$2^2-2*C26*$C$2*COS(Tx_Pyramid!$C$13))</f>
        <v>1.6394757571227772</v>
      </c>
      <c r="D32" t="s">
        <v>87</v>
      </c>
      <c r="E32" t="s">
        <v>176</v>
      </c>
    </row>
    <row r="33" spans="1:7" x14ac:dyDescent="0.25">
      <c r="A33" t="s">
        <v>181</v>
      </c>
      <c r="B33" s="9" t="s">
        <v>182</v>
      </c>
      <c r="C33">
        <f>SQRT(C27^2+$C$2^2-2*C27*$C$2*COS(Tx_Pyramid!$C$13))</f>
        <v>1.4321376053519077</v>
      </c>
      <c r="D33" t="s">
        <v>87</v>
      </c>
      <c r="E33" t="s">
        <v>176</v>
      </c>
    </row>
    <row r="34" spans="1:7" x14ac:dyDescent="0.25">
      <c r="B34" s="9"/>
    </row>
    <row r="35" spans="1:7" x14ac:dyDescent="0.25">
      <c r="B35" s="9"/>
    </row>
    <row r="36" spans="1:7" x14ac:dyDescent="0.25">
      <c r="A36" t="s">
        <v>183</v>
      </c>
      <c r="B36" s="9" t="s">
        <v>184</v>
      </c>
      <c r="C36">
        <f>ASIN($C$2*SIN(Tx_Pyramid!$C$13)/Tx_final!C30)</f>
        <v>0.99654927552986383</v>
      </c>
      <c r="D36" t="s">
        <v>185</v>
      </c>
    </row>
    <row r="37" spans="1:7" x14ac:dyDescent="0.25">
      <c r="A37" t="s">
        <v>186</v>
      </c>
      <c r="B37" s="9" t="s">
        <v>187</v>
      </c>
      <c r="C37">
        <f>ASIN($C$2*SIN(Tx_Pyramid!$C$13)/Tx_final!C31)</f>
        <v>0.82334003132985589</v>
      </c>
      <c r="D37" t="s">
        <v>185</v>
      </c>
    </row>
    <row r="38" spans="1:7" x14ac:dyDescent="0.25">
      <c r="A38" t="s">
        <v>188</v>
      </c>
      <c r="B38" s="9" t="s">
        <v>189</v>
      </c>
      <c r="C38">
        <f>ASIN($C$2*SIN(Tx_Pyramid!$C$13)/Tx_final!C32)</f>
        <v>0.82334003132985589</v>
      </c>
      <c r="D38" t="s">
        <v>185</v>
      </c>
    </row>
    <row r="39" spans="1:7" x14ac:dyDescent="0.25">
      <c r="A39" t="s">
        <v>190</v>
      </c>
      <c r="B39" s="9" t="s">
        <v>191</v>
      </c>
      <c r="C39">
        <f>ASIN($C$2*SIN(Tx_Pyramid!$C$13)/Tx_final!C33)</f>
        <v>0.99654927552986383</v>
      </c>
      <c r="D39" t="s">
        <v>185</v>
      </c>
    </row>
    <row r="40" spans="1:7" x14ac:dyDescent="0.25">
      <c r="B40" s="9"/>
    </row>
    <row r="42" spans="1:7" x14ac:dyDescent="0.25">
      <c r="A42" t="s">
        <v>192</v>
      </c>
    </row>
    <row r="43" spans="1:7" x14ac:dyDescent="0.25">
      <c r="A43" t="s">
        <v>193</v>
      </c>
      <c r="B43" s="9" t="s">
        <v>194</v>
      </c>
      <c r="C43" s="33">
        <f>C30+C32</f>
        <v>3.0716133624746851</v>
      </c>
      <c r="D43" t="s">
        <v>87</v>
      </c>
      <c r="E43" t="s">
        <v>195</v>
      </c>
      <c r="F43">
        <f>2*Rx_Pyramid!C7</f>
        <v>2.7149269339996476</v>
      </c>
      <c r="G43" t="s">
        <v>87</v>
      </c>
    </row>
    <row r="44" spans="1:7" x14ac:dyDescent="0.25">
      <c r="A44" t="s">
        <v>196</v>
      </c>
      <c r="B44" s="9" t="s">
        <v>197</v>
      </c>
      <c r="C44" s="33">
        <f>C31+C33</f>
        <v>3.0716133624746851</v>
      </c>
      <c r="D44" t="s">
        <v>87</v>
      </c>
    </row>
  </sheetData>
  <sheetProtection algorithmName="SHA-512" hashValue="Knyht++SeF0OivqA+pT8qfEiPNAled3dg76yyU4DalJ5VPKxYQ+kWWPj6BEp4yiQq6OE/V/PCKiudriCmvQTRQ==" saltValue="XyU9WdGlNkZivO72FMe95w==" spinCount="100000" sheet="1" objects="1" scenarios="1"/>
  <conditionalFormatting sqref="A30:A40">
    <cfRule type="cellIs" dxfId="26" priority="2" operator="lessThan">
      <formula>0</formula>
    </cfRule>
  </conditionalFormatting>
  <conditionalFormatting sqref="A4:D9">
    <cfRule type="cellIs" dxfId="25" priority="6" operator="lessThan">
      <formula>0</formula>
    </cfRule>
  </conditionalFormatting>
  <conditionalFormatting sqref="A1:E3 A12:A28 A42:A46">
    <cfRule type="cellIs" dxfId="24" priority="7" operator="lessThan">
      <formula>0</formula>
    </cfRule>
  </conditionalFormatting>
  <conditionalFormatting sqref="D12:D27">
    <cfRule type="cellIs" dxfId="23" priority="5" operator="lessThan">
      <formula>0</formula>
    </cfRule>
  </conditionalFormatting>
  <conditionalFormatting sqref="D30:D40">
    <cfRule type="cellIs" dxfId="22" priority="1" operator="lessThan">
      <formula>0</formula>
    </cfRule>
  </conditionalFormatting>
  <conditionalFormatting sqref="D43:D44">
    <cfRule type="cellIs" dxfId="21" priority="3" operator="lessThan">
      <formula>0</formula>
    </cfRule>
  </conditionalFormatting>
  <hyperlinks>
    <hyperlink ref="A27" r:id="rId1" display="OD@" xr:uid="{00000000-0004-0000-0A00-000000000000}"/>
  </hyperlinks>
  <pageMargins left="0.7" right="0.7" top="0.75" bottom="0.75" header="0.3" footer="0.3"/>
  <pageSetup paperSize="9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29"/>
  <sheetViews>
    <sheetView topLeftCell="A7" zoomScaleNormal="100" workbookViewId="0">
      <selection activeCell="G31" sqref="G31:I31"/>
    </sheetView>
  </sheetViews>
  <sheetFormatPr defaultRowHeight="15" x14ac:dyDescent="0.25"/>
  <cols>
    <col min="1" max="1" width="18.85546875" bestFit="1" customWidth="1"/>
    <col min="2" max="2" width="32.28515625" bestFit="1" customWidth="1"/>
    <col min="5" max="5" width="9.140625" customWidth="1"/>
    <col min="9" max="9" width="8.85546875" customWidth="1"/>
    <col min="10" max="10" width="31.5703125" bestFit="1" customWidth="1"/>
    <col min="11" max="11" width="12" bestFit="1" customWidth="1"/>
  </cols>
  <sheetData>
    <row r="1" spans="1:18" x14ac:dyDescent="0.25">
      <c r="A1" t="s">
        <v>135</v>
      </c>
      <c r="B1" t="s">
        <v>136</v>
      </c>
      <c r="C1" t="s">
        <v>4</v>
      </c>
      <c r="D1" t="s">
        <v>74</v>
      </c>
      <c r="E1" t="s">
        <v>5</v>
      </c>
      <c r="I1" t="s">
        <v>135</v>
      </c>
      <c r="J1" t="s">
        <v>136</v>
      </c>
      <c r="K1" t="s">
        <v>4</v>
      </c>
      <c r="L1" t="s">
        <v>74</v>
      </c>
      <c r="M1" t="s">
        <v>5</v>
      </c>
    </row>
    <row r="2" spans="1:18" x14ac:dyDescent="0.25">
      <c r="R2" t="s">
        <v>385</v>
      </c>
    </row>
    <row r="3" spans="1:18" x14ac:dyDescent="0.25">
      <c r="A3" t="s">
        <v>112</v>
      </c>
      <c r="B3" s="8"/>
      <c r="C3">
        <f>Input_data!E19</f>
        <v>0</v>
      </c>
      <c r="D3" t="s">
        <v>87</v>
      </c>
    </row>
    <row r="4" spans="1:18" x14ac:dyDescent="0.25">
      <c r="A4" t="s">
        <v>113</v>
      </c>
      <c r="B4" s="8" t="s">
        <v>386</v>
      </c>
      <c r="C4">
        <f>Input_data!E20</f>
        <v>1.5</v>
      </c>
    </row>
    <row r="6" spans="1:18" x14ac:dyDescent="0.25">
      <c r="A6" s="4" t="s">
        <v>31</v>
      </c>
      <c r="I6" s="4" t="s">
        <v>134</v>
      </c>
    </row>
    <row r="7" spans="1:18" x14ac:dyDescent="0.25">
      <c r="A7" t="s">
        <v>193</v>
      </c>
      <c r="B7" s="9" t="s">
        <v>387</v>
      </c>
      <c r="C7">
        <f>Rx_final!C43</f>
        <v>3.029279124109975</v>
      </c>
      <c r="D7" t="s">
        <v>87</v>
      </c>
      <c r="I7" t="s">
        <v>193</v>
      </c>
      <c r="J7" s="9" t="s">
        <v>387</v>
      </c>
      <c r="K7">
        <f>Tx_final!C43</f>
        <v>3.0716133624746851</v>
      </c>
      <c r="L7" t="s">
        <v>87</v>
      </c>
    </row>
    <row r="8" spans="1:18" x14ac:dyDescent="0.25">
      <c r="A8" t="s">
        <v>196</v>
      </c>
      <c r="B8" s="9" t="s">
        <v>388</v>
      </c>
      <c r="C8">
        <f>Rx_final!C44</f>
        <v>3.029279124109975</v>
      </c>
      <c r="D8" t="s">
        <v>87</v>
      </c>
      <c r="I8" t="s">
        <v>196</v>
      </c>
      <c r="J8" s="9" t="s">
        <v>388</v>
      </c>
      <c r="K8">
        <f>Tx_final!C44</f>
        <v>3.0716133624746851</v>
      </c>
      <c r="L8" t="s">
        <v>87</v>
      </c>
    </row>
    <row r="9" spans="1:18" x14ac:dyDescent="0.25">
      <c r="B9" s="9"/>
      <c r="J9" s="9"/>
    </row>
    <row r="10" spans="1:18" ht="18" x14ac:dyDescent="0.35">
      <c r="A10" t="s">
        <v>389</v>
      </c>
      <c r="B10" s="9" t="s">
        <v>390</v>
      </c>
      <c r="C10">
        <f>PI()/2-Rx_final!C36</f>
        <v>0.57424705126503273</v>
      </c>
      <c r="D10" t="s">
        <v>185</v>
      </c>
      <c r="E10" t="s">
        <v>391</v>
      </c>
      <c r="I10" t="s">
        <v>389</v>
      </c>
      <c r="J10" s="9" t="s">
        <v>390</v>
      </c>
      <c r="K10">
        <f>PI()/2-Tx_final!C36</f>
        <v>0.57424705126503273</v>
      </c>
      <c r="L10" t="s">
        <v>185</v>
      </c>
      <c r="M10" t="s">
        <v>391</v>
      </c>
    </row>
    <row r="11" spans="1:18" ht="18" x14ac:dyDescent="0.35">
      <c r="A11" t="s">
        <v>392</v>
      </c>
      <c r="B11" s="9" t="s">
        <v>393</v>
      </c>
      <c r="C11">
        <f>PI()/2-Rx_final!C37</f>
        <v>0.74745629546504078</v>
      </c>
      <c r="D11" t="s">
        <v>185</v>
      </c>
      <c r="I11" t="s">
        <v>392</v>
      </c>
      <c r="J11" s="9" t="s">
        <v>393</v>
      </c>
      <c r="K11">
        <f>PI()/2-Tx_final!C37</f>
        <v>0.74745629546504067</v>
      </c>
      <c r="L11" t="s">
        <v>185</v>
      </c>
    </row>
    <row r="12" spans="1:18" ht="18" x14ac:dyDescent="0.35">
      <c r="A12" t="s">
        <v>394</v>
      </c>
      <c r="B12" s="9" t="s">
        <v>395</v>
      </c>
      <c r="C12">
        <f>PI()/2-Rx_final!C38</f>
        <v>0.74745629546504078</v>
      </c>
      <c r="D12" t="s">
        <v>185</v>
      </c>
      <c r="I12" t="s">
        <v>394</v>
      </c>
      <c r="J12" s="9" t="s">
        <v>395</v>
      </c>
      <c r="K12">
        <f>PI()/2-Tx_final!C38</f>
        <v>0.74745629546504067</v>
      </c>
      <c r="L12" t="s">
        <v>185</v>
      </c>
    </row>
    <row r="13" spans="1:18" ht="18" x14ac:dyDescent="0.35">
      <c r="A13" t="s">
        <v>396</v>
      </c>
      <c r="B13" s="9" t="s">
        <v>397</v>
      </c>
      <c r="C13">
        <f>PI()/2-Rx_final!C39</f>
        <v>0.57424705126503273</v>
      </c>
      <c r="D13" t="s">
        <v>185</v>
      </c>
      <c r="I13" t="s">
        <v>396</v>
      </c>
      <c r="J13" s="9" t="s">
        <v>397</v>
      </c>
      <c r="K13">
        <f>PI()/2-Tx_final!C39</f>
        <v>0.57424705126503273</v>
      </c>
      <c r="L13" t="s">
        <v>185</v>
      </c>
    </row>
    <row r="14" spans="1:18" x14ac:dyDescent="0.25">
      <c r="B14" s="9"/>
      <c r="J14" s="9"/>
    </row>
    <row r="15" spans="1:18" ht="18" x14ac:dyDescent="0.35">
      <c r="A15" t="s">
        <v>398</v>
      </c>
      <c r="B15" s="9"/>
      <c r="C15">
        <f>Input_data!E17/Input_data!E20</f>
        <v>0.66666666666666663</v>
      </c>
      <c r="J15" s="9"/>
    </row>
    <row r="16" spans="1:18" x14ac:dyDescent="0.25">
      <c r="B16" s="9"/>
      <c r="J16" s="9"/>
    </row>
    <row r="17" spans="1:13" ht="18" x14ac:dyDescent="0.35">
      <c r="A17" t="s">
        <v>399</v>
      </c>
      <c r="B17" s="9" t="s">
        <v>400</v>
      </c>
      <c r="C17">
        <f>ASIN($C$15*SIN(C10))</f>
        <v>0.37055753250396445</v>
      </c>
      <c r="D17" t="s">
        <v>185</v>
      </c>
      <c r="E17" t="s">
        <v>391</v>
      </c>
      <c r="I17" t="s">
        <v>399</v>
      </c>
      <c r="J17" s="9" t="s">
        <v>400</v>
      </c>
      <c r="K17">
        <f>ASIN($C$15*SIN(K10))</f>
        <v>0.37055753250396445</v>
      </c>
      <c r="L17" t="s">
        <v>185</v>
      </c>
      <c r="M17" t="s">
        <v>391</v>
      </c>
    </row>
    <row r="18" spans="1:13" ht="18" x14ac:dyDescent="0.35">
      <c r="A18" t="s">
        <v>401</v>
      </c>
      <c r="B18" s="9" t="s">
        <v>402</v>
      </c>
      <c r="C18">
        <f t="shared" ref="C18:C20" si="0">ASIN($C$15*SIN(C11))</f>
        <v>0.47033346946480636</v>
      </c>
      <c r="D18" t="s">
        <v>185</v>
      </c>
      <c r="I18" t="s">
        <v>401</v>
      </c>
      <c r="J18" s="9" t="s">
        <v>402</v>
      </c>
      <c r="K18">
        <f t="shared" ref="K18:K20" si="1">ASIN($C$15*SIN(K11))</f>
        <v>0.47033346946480631</v>
      </c>
      <c r="L18" t="s">
        <v>185</v>
      </c>
    </row>
    <row r="19" spans="1:13" ht="18" x14ac:dyDescent="0.35">
      <c r="A19" t="s">
        <v>403</v>
      </c>
      <c r="B19" s="9" t="s">
        <v>404</v>
      </c>
      <c r="C19">
        <f t="shared" si="0"/>
        <v>0.47033346946480636</v>
      </c>
      <c r="D19" t="s">
        <v>185</v>
      </c>
      <c r="I19" t="s">
        <v>403</v>
      </c>
      <c r="J19" s="9" t="s">
        <v>404</v>
      </c>
      <c r="K19">
        <f t="shared" si="1"/>
        <v>0.47033346946480631</v>
      </c>
      <c r="L19" t="s">
        <v>185</v>
      </c>
    </row>
    <row r="20" spans="1:13" ht="18" x14ac:dyDescent="0.35">
      <c r="A20" t="s">
        <v>405</v>
      </c>
      <c r="B20" s="9" t="s">
        <v>406</v>
      </c>
      <c r="C20">
        <f t="shared" si="0"/>
        <v>0.37055753250396445</v>
      </c>
      <c r="D20" t="s">
        <v>185</v>
      </c>
      <c r="I20" t="s">
        <v>405</v>
      </c>
      <c r="J20" s="9" t="s">
        <v>406</v>
      </c>
      <c r="K20">
        <f t="shared" si="1"/>
        <v>0.37055753250396445</v>
      </c>
      <c r="L20" t="s">
        <v>185</v>
      </c>
    </row>
    <row r="21" spans="1:13" x14ac:dyDescent="0.25">
      <c r="B21" s="9"/>
      <c r="J21" s="9"/>
    </row>
    <row r="22" spans="1:13" ht="18" x14ac:dyDescent="0.35">
      <c r="A22" t="s">
        <v>407</v>
      </c>
      <c r="B22" s="9" t="s">
        <v>408</v>
      </c>
      <c r="C22">
        <f>$C$3*TAN(C17)</f>
        <v>0</v>
      </c>
      <c r="D22" t="s">
        <v>87</v>
      </c>
      <c r="I22" t="s">
        <v>407</v>
      </c>
      <c r="J22" s="9" t="s">
        <v>408</v>
      </c>
      <c r="K22">
        <f>$C$3*TAN(K17)</f>
        <v>0</v>
      </c>
      <c r="L22" t="s">
        <v>87</v>
      </c>
    </row>
    <row r="23" spans="1:13" ht="18" x14ac:dyDescent="0.35">
      <c r="A23" t="s">
        <v>409</v>
      </c>
      <c r="B23" s="9" t="s">
        <v>410</v>
      </c>
      <c r="C23">
        <f t="shared" ref="C23:C25" si="2">$C$3*TAN(C18)</f>
        <v>0</v>
      </c>
      <c r="D23" t="s">
        <v>87</v>
      </c>
      <c r="I23" t="s">
        <v>409</v>
      </c>
      <c r="J23" s="9" t="s">
        <v>410</v>
      </c>
      <c r="K23">
        <f t="shared" ref="K23:K25" si="3">$C$3*TAN(K18)</f>
        <v>0</v>
      </c>
      <c r="L23" t="s">
        <v>87</v>
      </c>
    </row>
    <row r="24" spans="1:13" ht="18" x14ac:dyDescent="0.35">
      <c r="A24" t="s">
        <v>411</v>
      </c>
      <c r="B24" s="9" t="s">
        <v>412</v>
      </c>
      <c r="C24">
        <f t="shared" si="2"/>
        <v>0</v>
      </c>
      <c r="D24" t="s">
        <v>87</v>
      </c>
      <c r="I24" t="s">
        <v>411</v>
      </c>
      <c r="J24" s="9" t="s">
        <v>412</v>
      </c>
      <c r="K24">
        <f t="shared" si="3"/>
        <v>0</v>
      </c>
      <c r="L24" t="s">
        <v>87</v>
      </c>
    </row>
    <row r="25" spans="1:13" ht="18" x14ac:dyDescent="0.35">
      <c r="A25" t="s">
        <v>413</v>
      </c>
      <c r="B25" s="9" t="s">
        <v>414</v>
      </c>
      <c r="C25">
        <f t="shared" si="2"/>
        <v>0</v>
      </c>
      <c r="D25" t="s">
        <v>87</v>
      </c>
      <c r="I25" t="s">
        <v>413</v>
      </c>
      <c r="J25" s="9" t="s">
        <v>414</v>
      </c>
      <c r="K25">
        <f t="shared" si="3"/>
        <v>0</v>
      </c>
      <c r="L25" t="s">
        <v>87</v>
      </c>
    </row>
    <row r="28" spans="1:13" ht="18" x14ac:dyDescent="0.35">
      <c r="A28" t="s">
        <v>415</v>
      </c>
      <c r="B28" s="9" t="s">
        <v>416</v>
      </c>
      <c r="C28">
        <f>C7+C22+C24</f>
        <v>3.029279124109975</v>
      </c>
      <c r="D28" t="s">
        <v>87</v>
      </c>
      <c r="I28" t="s">
        <v>415</v>
      </c>
      <c r="J28" s="9" t="s">
        <v>416</v>
      </c>
      <c r="K28">
        <f>K7+K22+K24</f>
        <v>3.0716133624746851</v>
      </c>
      <c r="L28" t="s">
        <v>87</v>
      </c>
    </row>
    <row r="29" spans="1:13" ht="18" x14ac:dyDescent="0.35">
      <c r="A29" t="s">
        <v>417</v>
      </c>
      <c r="B29" s="9" t="s">
        <v>418</v>
      </c>
      <c r="C29">
        <f>C8+C23+C25</f>
        <v>3.029279124109975</v>
      </c>
      <c r="D29" t="s">
        <v>87</v>
      </c>
      <c r="I29" t="s">
        <v>417</v>
      </c>
      <c r="J29" s="9" t="s">
        <v>418</v>
      </c>
      <c r="K29">
        <f>K8+K23+K25</f>
        <v>3.0716133624746851</v>
      </c>
      <c r="L29" t="s">
        <v>87</v>
      </c>
    </row>
  </sheetData>
  <sheetProtection algorithmName="SHA-512" hashValue="6Cm8rpfmR8NViC6P9JF0p5xlprNZdmjebFHLQKtqul9CBD4JkigGQdW1z4RZlDkYnzxZRtsJnN5MrgRtH6zRGw==" saltValue="WBeWk07AGmI0BL7qbBo/aA==" spinCount="100000" sheet="1" objects="1" scenarios="1"/>
  <conditionalFormatting sqref="A1:E5">
    <cfRule type="cellIs" dxfId="20" priority="21" operator="lessThan">
      <formula>0</formula>
    </cfRule>
  </conditionalFormatting>
  <conditionalFormatting sqref="D7:D8">
    <cfRule type="cellIs" dxfId="19" priority="19" operator="lessThan">
      <formula>0</formula>
    </cfRule>
  </conditionalFormatting>
  <conditionalFormatting sqref="D22:D26">
    <cfRule type="cellIs" dxfId="18" priority="13" operator="lessThan">
      <formula>0</formula>
    </cfRule>
  </conditionalFormatting>
  <conditionalFormatting sqref="D28:D29">
    <cfRule type="cellIs" dxfId="17" priority="11" operator="lessThan">
      <formula>0</formula>
    </cfRule>
  </conditionalFormatting>
  <conditionalFormatting sqref="I1:M1">
    <cfRule type="cellIs" dxfId="16" priority="1" operator="lessThan">
      <formula>0</formula>
    </cfRule>
  </conditionalFormatting>
  <conditionalFormatting sqref="L7:L8">
    <cfRule type="cellIs" dxfId="15" priority="9" operator="lessThan">
      <formula>0</formula>
    </cfRule>
  </conditionalFormatting>
  <conditionalFormatting sqref="L22:L26">
    <cfRule type="cellIs" dxfId="14" priority="4" operator="lessThan">
      <formula>0</formula>
    </cfRule>
  </conditionalFormatting>
  <conditionalFormatting sqref="L28:L29">
    <cfRule type="cellIs" dxfId="13" priority="2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41"/>
  <sheetViews>
    <sheetView zoomScaleNormal="100" workbookViewId="0">
      <selection activeCell="G31" sqref="G31:I31"/>
    </sheetView>
  </sheetViews>
  <sheetFormatPr defaultRowHeight="15" x14ac:dyDescent="0.25"/>
  <cols>
    <col min="3" max="3" width="17.5703125" bestFit="1" customWidth="1"/>
    <col min="4" max="4" width="13.85546875" customWidth="1"/>
    <col min="5" max="5" width="15.7109375" customWidth="1"/>
    <col min="7" max="7" width="29.5703125" customWidth="1"/>
    <col min="8" max="8" width="11.5703125" customWidth="1"/>
    <col min="11" max="11" width="17.5703125" bestFit="1" customWidth="1"/>
    <col min="12" max="12" width="12.7109375" bestFit="1" customWidth="1"/>
    <col min="13" max="13" width="13.5703125" customWidth="1"/>
    <col min="15" max="15" width="15.5703125" customWidth="1"/>
    <col min="16" max="16" width="12.5703125" customWidth="1"/>
    <col min="19" max="20" width="25.28515625" bestFit="1" customWidth="1"/>
  </cols>
  <sheetData>
    <row r="1" spans="1:20" x14ac:dyDescent="0.25">
      <c r="C1" t="s">
        <v>115</v>
      </c>
      <c r="D1">
        <f>Input_data!E21</f>
        <v>0</v>
      </c>
    </row>
    <row r="2" spans="1:20" x14ac:dyDescent="0.25">
      <c r="C2" t="s">
        <v>117</v>
      </c>
      <c r="D2">
        <f>Input_data!E22</f>
        <v>7</v>
      </c>
    </row>
    <row r="4" spans="1:20" x14ac:dyDescent="0.25">
      <c r="A4" t="s">
        <v>419</v>
      </c>
      <c r="C4" t="s">
        <v>135</v>
      </c>
      <c r="D4" t="s">
        <v>136</v>
      </c>
      <c r="E4" t="s">
        <v>4</v>
      </c>
      <c r="F4" t="s">
        <v>74</v>
      </c>
      <c r="G4" t="s">
        <v>5</v>
      </c>
      <c r="I4" t="s">
        <v>419</v>
      </c>
    </row>
    <row r="5" spans="1:20" x14ac:dyDescent="0.25">
      <c r="C5" s="4" t="s">
        <v>31</v>
      </c>
      <c r="K5" s="4" t="s">
        <v>134</v>
      </c>
    </row>
    <row r="6" spans="1:20" ht="18" x14ac:dyDescent="0.35">
      <c r="A6">
        <f>RANK(E6,E$6:E$9)</f>
        <v>1</v>
      </c>
      <c r="B6" t="s">
        <v>420</v>
      </c>
      <c r="C6" t="s">
        <v>421</v>
      </c>
      <c r="D6" s="9" t="s">
        <v>422</v>
      </c>
      <c r="E6">
        <f>Rx_final!C32+Refraction!C24</f>
        <v>1.6168798281093415</v>
      </c>
      <c r="F6" t="s">
        <v>87</v>
      </c>
      <c r="I6">
        <f>RANK(M6,M$6:M$9)</f>
        <v>1</v>
      </c>
      <c r="J6" t="s">
        <v>420</v>
      </c>
      <c r="K6" t="s">
        <v>421</v>
      </c>
      <c r="L6" s="9" t="s">
        <v>422</v>
      </c>
      <c r="M6">
        <f>Tx_final!C32+Refraction!K24</f>
        <v>1.6394757571227772</v>
      </c>
      <c r="N6" t="s">
        <v>87</v>
      </c>
    </row>
    <row r="7" spans="1:20" ht="18" x14ac:dyDescent="0.35">
      <c r="A7">
        <f t="shared" ref="A7:A9" si="0">RANK(E7,E$6:E$9)</f>
        <v>3</v>
      </c>
      <c r="B7" t="s">
        <v>423</v>
      </c>
      <c r="C7" t="s">
        <v>424</v>
      </c>
      <c r="D7" s="9" t="s">
        <v>425</v>
      </c>
      <c r="E7">
        <f>Rx_final!C30+Refraction!C22</f>
        <v>1.4123992960006335</v>
      </c>
      <c r="F7" t="s">
        <v>87</v>
      </c>
      <c r="I7">
        <f t="shared" ref="I7:I9" si="1">RANK(M7,M$6:M$9)</f>
        <v>3</v>
      </c>
      <c r="J7" t="s">
        <v>423</v>
      </c>
      <c r="K7" t="s">
        <v>424</v>
      </c>
      <c r="L7" s="9" t="s">
        <v>425</v>
      </c>
      <c r="M7">
        <f>Tx_final!C30+Refraction!K22</f>
        <v>1.4321376053519077</v>
      </c>
      <c r="N7" t="s">
        <v>87</v>
      </c>
    </row>
    <row r="8" spans="1:20" ht="18" x14ac:dyDescent="0.35">
      <c r="A8">
        <f t="shared" si="0"/>
        <v>1</v>
      </c>
      <c r="B8" s="9" t="s">
        <v>426</v>
      </c>
      <c r="C8" t="s">
        <v>427</v>
      </c>
      <c r="D8" s="9" t="s">
        <v>428</v>
      </c>
      <c r="E8">
        <f>Rx_final!C31+Refraction!C23</f>
        <v>1.6168798281093415</v>
      </c>
      <c r="F8" t="s">
        <v>87</v>
      </c>
      <c r="I8">
        <f t="shared" si="1"/>
        <v>1</v>
      </c>
      <c r="J8" s="9" t="s">
        <v>426</v>
      </c>
      <c r="K8" t="s">
        <v>427</v>
      </c>
      <c r="L8" s="9" t="s">
        <v>428</v>
      </c>
      <c r="M8">
        <f>Tx_final!C31+Refraction!K23</f>
        <v>1.6394757571227772</v>
      </c>
      <c r="N8" t="s">
        <v>87</v>
      </c>
    </row>
    <row r="9" spans="1:20" ht="18" x14ac:dyDescent="0.35">
      <c r="A9">
        <f t="shared" si="0"/>
        <v>3</v>
      </c>
      <c r="B9" t="s">
        <v>126</v>
      </c>
      <c r="C9" t="s">
        <v>429</v>
      </c>
      <c r="D9" s="9" t="s">
        <v>430</v>
      </c>
      <c r="E9">
        <f>Rx_final!C33+Refraction!C25</f>
        <v>1.4123992960006335</v>
      </c>
      <c r="F9" t="s">
        <v>87</v>
      </c>
      <c r="I9">
        <f t="shared" si="1"/>
        <v>3</v>
      </c>
      <c r="J9" t="s">
        <v>126</v>
      </c>
      <c r="K9" t="s">
        <v>429</v>
      </c>
      <c r="L9" s="9" t="s">
        <v>430</v>
      </c>
      <c r="M9">
        <f>Tx_final!C33+Refraction!K25</f>
        <v>1.4321376053519077</v>
      </c>
      <c r="N9" t="s">
        <v>87</v>
      </c>
    </row>
    <row r="10" spans="1:20" x14ac:dyDescent="0.25">
      <c r="D10" s="9"/>
      <c r="L10" s="9"/>
    </row>
    <row r="11" spans="1:20" x14ac:dyDescent="0.25">
      <c r="C11" t="s">
        <v>237</v>
      </c>
      <c r="D11" s="11" t="s">
        <v>238</v>
      </c>
      <c r="E11">
        <f>Rx_Pyramid!C22</f>
        <v>0.78539816339744828</v>
      </c>
      <c r="F11" s="30" t="s">
        <v>201</v>
      </c>
      <c r="K11" t="s">
        <v>237</v>
      </c>
      <c r="L11" s="11" t="s">
        <v>238</v>
      </c>
      <c r="M11">
        <f>E11</f>
        <v>0.78539816339744828</v>
      </c>
      <c r="N11" s="30" t="s">
        <v>201</v>
      </c>
      <c r="S11" s="59"/>
      <c r="T11" s="59"/>
    </row>
    <row r="13" spans="1:20" x14ac:dyDescent="0.25">
      <c r="C13" t="s">
        <v>431</v>
      </c>
      <c r="D13" s="9" t="s">
        <v>432</v>
      </c>
      <c r="E13">
        <f>PI()/2-E11</f>
        <v>0.78539816339744828</v>
      </c>
      <c r="F13" t="s">
        <v>185</v>
      </c>
      <c r="G13" t="str">
        <f>C7</f>
        <v>H'A1</v>
      </c>
      <c r="H13" t="s">
        <v>433</v>
      </c>
      <c r="K13" t="s">
        <v>431</v>
      </c>
      <c r="L13" s="9" t="s">
        <v>432</v>
      </c>
      <c r="M13">
        <f>PI()/2-M11</f>
        <v>0.78539816339744828</v>
      </c>
      <c r="N13" t="s">
        <v>185</v>
      </c>
      <c r="O13" t="str">
        <f>K7</f>
        <v>H'A1</v>
      </c>
      <c r="P13" t="s">
        <v>433</v>
      </c>
    </row>
    <row r="14" spans="1:20" x14ac:dyDescent="0.25">
      <c r="C14" t="s">
        <v>434</v>
      </c>
      <c r="D14" s="9" t="s">
        <v>435</v>
      </c>
      <c r="E14">
        <f>PI()/2+E11</f>
        <v>2.3561944901923448</v>
      </c>
      <c r="F14" t="s">
        <v>185</v>
      </c>
      <c r="G14" t="str">
        <f>C8</f>
        <v>H'B1</v>
      </c>
      <c r="H14" t="s">
        <v>433</v>
      </c>
      <c r="K14" t="s">
        <v>434</v>
      </c>
      <c r="L14" s="9" t="s">
        <v>435</v>
      </c>
      <c r="M14">
        <f>PI()/2+M11</f>
        <v>2.3561944901923448</v>
      </c>
      <c r="N14" t="s">
        <v>185</v>
      </c>
      <c r="O14" t="str">
        <f>K8</f>
        <v>H'B1</v>
      </c>
      <c r="P14" t="s">
        <v>433</v>
      </c>
    </row>
    <row r="15" spans="1:20" x14ac:dyDescent="0.25">
      <c r="C15" t="s">
        <v>436</v>
      </c>
      <c r="D15" s="9" t="s">
        <v>437</v>
      </c>
      <c r="E15">
        <f>3*PI()/2-E11</f>
        <v>3.9269908169872414</v>
      </c>
      <c r="F15" t="s">
        <v>185</v>
      </c>
      <c r="G15" t="str">
        <f>C6</f>
        <v>H'C1</v>
      </c>
      <c r="H15" t="s">
        <v>433</v>
      </c>
      <c r="K15" t="s">
        <v>436</v>
      </c>
      <c r="L15" s="9" t="s">
        <v>437</v>
      </c>
      <c r="M15">
        <f>3*PI()/2-M11</f>
        <v>3.9269908169872414</v>
      </c>
      <c r="N15" t="s">
        <v>185</v>
      </c>
      <c r="O15" t="str">
        <f>K6</f>
        <v>H'C1</v>
      </c>
      <c r="P15" t="s">
        <v>433</v>
      </c>
    </row>
    <row r="16" spans="1:20" x14ac:dyDescent="0.25">
      <c r="C16" t="s">
        <v>438</v>
      </c>
      <c r="D16" s="9" t="s">
        <v>439</v>
      </c>
      <c r="E16">
        <f>3*PI()/2+E11</f>
        <v>5.497787143782138</v>
      </c>
      <c r="F16" t="s">
        <v>185</v>
      </c>
      <c r="G16" t="str">
        <f>C9</f>
        <v>H'D1</v>
      </c>
      <c r="H16" t="s">
        <v>433</v>
      </c>
      <c r="K16" t="s">
        <v>438</v>
      </c>
      <c r="L16" s="9" t="s">
        <v>439</v>
      </c>
      <c r="M16">
        <f>3*PI()/2+M11</f>
        <v>5.497787143782138</v>
      </c>
      <c r="N16" t="s">
        <v>185</v>
      </c>
      <c r="O16" t="str">
        <f>K9</f>
        <v>H'D1</v>
      </c>
      <c r="P16" t="s">
        <v>433</v>
      </c>
    </row>
    <row r="18" spans="3:16" x14ac:dyDescent="0.25">
      <c r="C18" t="s">
        <v>440</v>
      </c>
      <c r="K18" t="s">
        <v>440</v>
      </c>
    </row>
    <row r="19" spans="3:16" x14ac:dyDescent="0.25">
      <c r="D19" t="s">
        <v>441</v>
      </c>
      <c r="E19" t="s">
        <v>442</v>
      </c>
      <c r="L19" t="s">
        <v>441</v>
      </c>
      <c r="M19" t="s">
        <v>442</v>
      </c>
    </row>
    <row r="20" spans="3:16" x14ac:dyDescent="0.25">
      <c r="C20" t="s">
        <v>423</v>
      </c>
      <c r="D20">
        <f>E7*COS(E15)</f>
        <v>-0.998717119945154</v>
      </c>
      <c r="E20">
        <f>E7*SIN(E15)</f>
        <v>-0.99871711994515366</v>
      </c>
      <c r="G20" t="str">
        <f>C7</f>
        <v>H'A1</v>
      </c>
      <c r="K20" t="s">
        <v>423</v>
      </c>
      <c r="L20">
        <f>M7*COS(M15)</f>
        <v>-1.0126742123365977</v>
      </c>
      <c r="M20">
        <f>M7*SIN(M15)</f>
        <v>-1.0126742123365975</v>
      </c>
      <c r="O20" t="str">
        <f>K7</f>
        <v>H'A1</v>
      </c>
    </row>
    <row r="21" spans="3:16" x14ac:dyDescent="0.25">
      <c r="C21" t="s">
        <v>426</v>
      </c>
      <c r="D21">
        <f>E8*COS(E14)</f>
        <v>-1.1433066908198546</v>
      </c>
      <c r="E21">
        <f>E8*SIN(E14)</f>
        <v>1.1433066908198548</v>
      </c>
      <c r="G21" t="str">
        <f>C8</f>
        <v>H'B1</v>
      </c>
      <c r="K21" t="s">
        <v>426</v>
      </c>
      <c r="L21">
        <f>M8*COS(M14)</f>
        <v>-1.1592844254524648</v>
      </c>
      <c r="M21">
        <f>M8*SIN(M14)</f>
        <v>1.159284425452465</v>
      </c>
      <c r="O21" t="str">
        <f>K8</f>
        <v>H'B1</v>
      </c>
    </row>
    <row r="22" spans="3:16" x14ac:dyDescent="0.25">
      <c r="C22" t="s">
        <v>420</v>
      </c>
      <c r="D22">
        <f>E6*COS(E13)</f>
        <v>1.1433066908198548</v>
      </c>
      <c r="E22">
        <f>E6*SIN(E13)</f>
        <v>1.1433066908198546</v>
      </c>
      <c r="G22" t="str">
        <f>C6</f>
        <v>H'C1</v>
      </c>
      <c r="K22" t="s">
        <v>420</v>
      </c>
      <c r="L22">
        <f>M6*COS(M13)</f>
        <v>1.159284425452465</v>
      </c>
      <c r="M22">
        <f>M6*SIN(M13)</f>
        <v>1.1592844254524648</v>
      </c>
      <c r="O22" t="str">
        <f>K6</f>
        <v>H'C1</v>
      </c>
    </row>
    <row r="23" spans="3:16" x14ac:dyDescent="0.25">
      <c r="C23" t="s">
        <v>126</v>
      </c>
      <c r="D23">
        <f>E9*COS(E16)</f>
        <v>0.99871711994515344</v>
      </c>
      <c r="E23">
        <f>E9*SIN(E16)</f>
        <v>-0.998717119945154</v>
      </c>
      <c r="G23" t="str">
        <f>C9</f>
        <v>H'D1</v>
      </c>
      <c r="K23" t="s">
        <v>126</v>
      </c>
      <c r="L23">
        <f>M9*COS(M16)</f>
        <v>1.0126742123365973</v>
      </c>
      <c r="M23">
        <f>M9*SIN(M16)</f>
        <v>-1.0126742123365977</v>
      </c>
      <c r="O23" t="str">
        <f>K9</f>
        <v>H'D1</v>
      </c>
    </row>
    <row r="25" spans="3:16" x14ac:dyDescent="0.25">
      <c r="C25" t="s">
        <v>443</v>
      </c>
      <c r="K25" t="s">
        <v>443</v>
      </c>
    </row>
    <row r="26" spans="3:16" x14ac:dyDescent="0.25">
      <c r="C26">
        <v>1</v>
      </c>
      <c r="D26" t="str">
        <f>B6</f>
        <v>C1</v>
      </c>
      <c r="E26">
        <v>1</v>
      </c>
      <c r="F26" t="str">
        <f>B6</f>
        <v>C1</v>
      </c>
      <c r="G26">
        <v>1</v>
      </c>
      <c r="H26" t="str">
        <f>B6</f>
        <v>C1</v>
      </c>
      <c r="K26">
        <v>1</v>
      </c>
      <c r="L26" t="str">
        <f>J6</f>
        <v>C1</v>
      </c>
      <c r="M26">
        <v>1</v>
      </c>
      <c r="N26" t="str">
        <f>J6</f>
        <v>C1</v>
      </c>
      <c r="O26">
        <v>1</v>
      </c>
      <c r="P26" t="str">
        <f>J6</f>
        <v>C1</v>
      </c>
    </row>
    <row r="27" spans="3:16" x14ac:dyDescent="0.25">
      <c r="C27">
        <v>2</v>
      </c>
      <c r="D27" t="e">
        <f>VLOOKUP(C27,A$7:B$9,2,FALSE)</f>
        <v>#N/A</v>
      </c>
      <c r="E27">
        <v>1</v>
      </c>
      <c r="F27" t="str">
        <f>VLOOKUP(E27,A$7:B$9,2,FALSE)</f>
        <v>B1</v>
      </c>
      <c r="G27">
        <v>1</v>
      </c>
      <c r="H27" t="str">
        <f>VLOOKUP(E27,A$7:B$9,2,FALSE)</f>
        <v>B1</v>
      </c>
      <c r="K27">
        <v>2</v>
      </c>
      <c r="L27" t="e">
        <f>VLOOKUP(K27,I$7:J$9,2,FALSE)</f>
        <v>#N/A</v>
      </c>
      <c r="M27">
        <v>1</v>
      </c>
      <c r="N27" t="str">
        <f>VLOOKUP(M27,I$7:J$9,2,FALSE)</f>
        <v>B1</v>
      </c>
      <c r="O27">
        <v>1</v>
      </c>
      <c r="P27" t="str">
        <f>VLOOKUP(M27,I$7:J$9,2,FALSE)</f>
        <v>B1</v>
      </c>
    </row>
    <row r="28" spans="3:16" x14ac:dyDescent="0.25">
      <c r="C28">
        <v>3</v>
      </c>
      <c r="D28" t="str">
        <f>VLOOKUP(C28,A$7:B$9,2,FALSE)</f>
        <v>A1</v>
      </c>
      <c r="E28">
        <v>3</v>
      </c>
      <c r="F28" t="str">
        <f>VLOOKUP(E28,A$7:B$9,2,FALSE)</f>
        <v>A1</v>
      </c>
      <c r="G28">
        <v>1</v>
      </c>
      <c r="H28" t="str">
        <f>VLOOKUP(G28,A$8:B$9,2,FALSE)</f>
        <v>B1</v>
      </c>
      <c r="K28">
        <v>3</v>
      </c>
      <c r="L28" t="str">
        <f>VLOOKUP(K28,I$7:J$9,2,FALSE)</f>
        <v>A1</v>
      </c>
      <c r="M28">
        <v>3</v>
      </c>
      <c r="N28" t="str">
        <f>VLOOKUP(M28,I$7:J$9,2,FALSE)</f>
        <v>A1</v>
      </c>
      <c r="O28">
        <v>1</v>
      </c>
      <c r="P28" t="str">
        <f>VLOOKUP(O28,I$8:J$9,2,FALSE)</f>
        <v>B1</v>
      </c>
    </row>
    <row r="30" spans="3:16" x14ac:dyDescent="0.25">
      <c r="C30" t="s">
        <v>444</v>
      </c>
      <c r="K30" t="s">
        <v>444</v>
      </c>
    </row>
    <row r="31" spans="3:16" x14ac:dyDescent="0.25">
      <c r="C31" t="str">
        <f>D26</f>
        <v>C1</v>
      </c>
      <c r="D31">
        <f>LOOKUP(C31,C$20:C$23,D$20:D$23)</f>
        <v>1.1433066908198548</v>
      </c>
      <c r="E31">
        <f>LOOKUP(C31,C$20:C$23,E$20:E$23)</f>
        <v>1.1433066908198546</v>
      </c>
      <c r="K31" t="str">
        <f>L26</f>
        <v>C1</v>
      </c>
      <c r="L31">
        <f>LOOKUP(K31,K$20:K$23,L$20:L$23)</f>
        <v>1.159284425452465</v>
      </c>
      <c r="M31">
        <f>LOOKUP(K31,K$20:K$23,M$20:M$23)</f>
        <v>1.1592844254524648</v>
      </c>
    </row>
    <row r="32" spans="3:16" x14ac:dyDescent="0.25">
      <c r="C32" t="str">
        <f>IFERROR(D27,IFERROR(F27,H27))</f>
        <v>B1</v>
      </c>
      <c r="D32">
        <f t="shared" ref="D32:D33" si="2">LOOKUP(C32,C$20:C$23,D$20:D$23)</f>
        <v>-1.1433066908198546</v>
      </c>
      <c r="E32">
        <f t="shared" ref="E32:E33" si="3">LOOKUP(C32,C$20:C$23,E$20:E$23)</f>
        <v>1.1433066908198548</v>
      </c>
      <c r="K32" t="str">
        <f>IFERROR(L27,IFERROR(N27,P27))</f>
        <v>B1</v>
      </c>
      <c r="L32">
        <f t="shared" ref="L32:L33" si="4">LOOKUP(K32,K$20:K$23,L$20:L$23)</f>
        <v>-1.1592844254524648</v>
      </c>
      <c r="M32">
        <f t="shared" ref="M32:M33" si="5">LOOKUP(K32,K$20:K$23,M$20:M$23)</f>
        <v>1.159284425452465</v>
      </c>
    </row>
    <row r="33" spans="3:13" x14ac:dyDescent="0.25">
      <c r="C33" t="str">
        <f>IFERROR(D28,IFERROR(F28,H28))</f>
        <v>A1</v>
      </c>
      <c r="D33">
        <f t="shared" si="2"/>
        <v>-0.998717119945154</v>
      </c>
      <c r="E33">
        <f t="shared" si="3"/>
        <v>-0.99871711994515366</v>
      </c>
      <c r="K33" t="str">
        <f>IFERROR(L28,IFERROR(N28,P28))</f>
        <v>A1</v>
      </c>
      <c r="L33">
        <f t="shared" si="4"/>
        <v>-1.0126742123365977</v>
      </c>
      <c r="M33">
        <f t="shared" si="5"/>
        <v>-1.0126742123365975</v>
      </c>
    </row>
    <row r="34" spans="3:13" x14ac:dyDescent="0.25">
      <c r="C34" t="s">
        <v>445</v>
      </c>
      <c r="D34">
        <f t="array" ref="D34:E34">TRANSPOSE(MMULT(MINVERSE(2*(D32:E33 - D$31:E$31)), MMULT(D32:E33^2 - D$31:E$31^2, {1;1})))</f>
        <v>1.404056076945126E-17</v>
      </c>
      <c r="E34">
        <v>0.14458957087470092</v>
      </c>
      <c r="K34" t="s">
        <v>445</v>
      </c>
      <c r="L34">
        <f t="array" ref="L34:M34">TRANSPOSE(MMULT(MINVERSE(2*(L32:M33 - L$31:M$31)), MMULT(L32:M33^2 - L$31:M$31^2, {1;1})))</f>
        <v>1.4040560769451239E-17</v>
      </c>
      <c r="M34">
        <v>0.14661021311586725</v>
      </c>
    </row>
    <row r="35" spans="3:13" x14ac:dyDescent="0.25">
      <c r="C35" t="s">
        <v>446</v>
      </c>
      <c r="D35">
        <f>SQRT(SUMPRODUCT((D31:E31 - D34:E34)^2))</f>
        <v>1.5180863199913861</v>
      </c>
      <c r="K35" t="s">
        <v>446</v>
      </c>
      <c r="L35">
        <f>SQRT(SUMPRODUCT((L31:M31 - L34:M34)^2))</f>
        <v>1.5393016076871355</v>
      </c>
    </row>
    <row r="37" spans="3:13" x14ac:dyDescent="0.25">
      <c r="C37" t="s">
        <v>447</v>
      </c>
      <c r="D37" t="s">
        <v>448</v>
      </c>
    </row>
    <row r="38" spans="3:13" x14ac:dyDescent="0.25">
      <c r="C38" t="s">
        <v>446</v>
      </c>
      <c r="D38" t="s">
        <v>449</v>
      </c>
    </row>
    <row r="40" spans="3:13" x14ac:dyDescent="0.25">
      <c r="C40" s="60" t="s">
        <v>450</v>
      </c>
      <c r="D40" s="61">
        <f>D34</f>
        <v>1.404056076945126E-17</v>
      </c>
      <c r="E40" s="61">
        <f>E34</f>
        <v>0.14458957087470092</v>
      </c>
      <c r="K40" s="60" t="s">
        <v>450</v>
      </c>
      <c r="L40" s="61">
        <f>L34</f>
        <v>1.4040560769451239E-17</v>
      </c>
      <c r="M40" s="61">
        <f>M34</f>
        <v>0.14661021311586725</v>
      </c>
    </row>
    <row r="41" spans="3:13" x14ac:dyDescent="0.25">
      <c r="C41" s="60" t="s">
        <v>451</v>
      </c>
      <c r="D41" s="61">
        <f>D35</f>
        <v>1.5180863199913861</v>
      </c>
      <c r="E41" s="61"/>
      <c r="K41" s="60" t="s">
        <v>451</v>
      </c>
      <c r="L41" s="61">
        <f>L35</f>
        <v>1.5393016076871355</v>
      </c>
      <c r="M41" s="61"/>
    </row>
  </sheetData>
  <sheetProtection algorithmName="SHA-512" hashValue="xPdNZtILJFwxt2sBk2JwZ88xaujg/pJnQ5BmB3nBa766xUdnj6X0ffSHHe9259+Fw7ZrSS9MRM426RO/RD9fYw==" saltValue="uvaqDqKZbsqtwhRUXnJItA==" spinCount="100000" sheet="1" objects="1" scenarios="1"/>
  <sortState xmlns:xlrd2="http://schemas.microsoft.com/office/spreadsheetml/2017/richdata2" ref="R7:R9">
    <sortCondition ref="R7:R9"/>
  </sortState>
  <conditionalFormatting sqref="A4:G4 A6:D6 F6:F11 B7:D8 A7:A9 B9 C9:D11 C20:C25">
    <cfRule type="cellIs" dxfId="12" priority="28" operator="lessThan">
      <formula>0</formula>
    </cfRule>
  </conditionalFormatting>
  <conditionalFormatting sqref="C18">
    <cfRule type="cellIs" dxfId="11" priority="27" operator="lessThan">
      <formula>0</formula>
    </cfRule>
  </conditionalFormatting>
  <conditionalFormatting sqref="C29:C30">
    <cfRule type="cellIs" dxfId="10" priority="8" operator="lessThan">
      <formula>0</formula>
    </cfRule>
  </conditionalFormatting>
  <conditionalFormatting sqref="C32:K33">
    <cfRule type="cellIs" dxfId="9" priority="1" operator="lessThan">
      <formula>0</formula>
    </cfRule>
  </conditionalFormatting>
  <conditionalFormatting sqref="C13:L16">
    <cfRule type="cellIs" dxfId="8" priority="15" operator="lessThan">
      <formula>0</formula>
    </cfRule>
  </conditionalFormatting>
  <conditionalFormatting sqref="E6:E9">
    <cfRule type="colorScale" priority="20">
      <colorScale>
        <cfvo type="min"/>
        <cfvo type="max"/>
        <color theme="0"/>
        <color rgb="FFFFEF9C"/>
      </colorScale>
    </cfRule>
  </conditionalFormatting>
  <conditionalFormatting sqref="F13:F17">
    <cfRule type="cellIs" dxfId="7" priority="26" operator="lessThan">
      <formula>0</formula>
    </cfRule>
  </conditionalFormatting>
  <conditionalFormatting sqref="I4:J4 I6:J9">
    <cfRule type="cellIs" dxfId="6" priority="4" operator="lessThan">
      <formula>0</formula>
    </cfRule>
  </conditionalFormatting>
  <conditionalFormatting sqref="K18">
    <cfRule type="cellIs" dxfId="5" priority="9" operator="lessThan">
      <formula>0</formula>
    </cfRule>
  </conditionalFormatting>
  <conditionalFormatting sqref="K20:K25">
    <cfRule type="cellIs" dxfId="4" priority="5" operator="lessThan">
      <formula>0</formula>
    </cfRule>
  </conditionalFormatting>
  <conditionalFormatting sqref="K29:K30">
    <cfRule type="cellIs" dxfId="3" priority="2" operator="lessThan">
      <formula>0</formula>
    </cfRule>
  </conditionalFormatting>
  <conditionalFormatting sqref="K6:L11 N6:N11">
    <cfRule type="cellIs" dxfId="2" priority="13" operator="lessThan">
      <formula>0</formula>
    </cfRule>
  </conditionalFormatting>
  <conditionalFormatting sqref="M6:M9">
    <cfRule type="colorScale" priority="14">
      <colorScale>
        <cfvo type="min"/>
        <cfvo type="max"/>
        <color theme="0"/>
        <color rgb="FFFFEF9C"/>
      </colorScale>
    </cfRule>
  </conditionalFormatting>
  <conditionalFormatting sqref="P13:P16 N13:N17">
    <cfRule type="cellIs" dxfId="1" priority="17" operator="lessThan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N25"/>
  <sheetViews>
    <sheetView zoomScaleNormal="100" workbookViewId="0">
      <selection activeCell="G31" sqref="G31:I31"/>
    </sheetView>
  </sheetViews>
  <sheetFormatPr defaultRowHeight="15" x14ac:dyDescent="0.25"/>
  <cols>
    <col min="2" max="2" width="14.7109375" bestFit="1" customWidth="1"/>
    <col min="3" max="3" width="14" customWidth="1"/>
    <col min="4" max="4" width="15.5703125" customWidth="1"/>
    <col min="11" max="11" width="15.85546875" customWidth="1"/>
    <col min="12" max="12" width="15.5703125" customWidth="1"/>
  </cols>
  <sheetData>
    <row r="1" spans="2:14" x14ac:dyDescent="0.25">
      <c r="B1" t="s">
        <v>31</v>
      </c>
      <c r="J1" t="s">
        <v>30</v>
      </c>
    </row>
    <row r="2" spans="2:14" x14ac:dyDescent="0.25">
      <c r="B2" t="str">
        <f>C_centre!C18</f>
        <v>All Coordinates</v>
      </c>
      <c r="J2" t="str">
        <f>C_centre!K18</f>
        <v>All Coordinates</v>
      </c>
    </row>
    <row r="3" spans="2:14" x14ac:dyDescent="0.25">
      <c r="C3" t="str">
        <f>C_centre!D19</f>
        <v>x</v>
      </c>
      <c r="D3" t="str">
        <f>C_centre!E19</f>
        <v>y</v>
      </c>
      <c r="K3" t="str">
        <f>C_centre!L19</f>
        <v>x</v>
      </c>
      <c r="L3" t="str">
        <f>C_centre!M19</f>
        <v>y</v>
      </c>
    </row>
    <row r="4" spans="2:14" x14ac:dyDescent="0.25">
      <c r="B4" t="str">
        <f>C_centre!C20</f>
        <v>A1</v>
      </c>
      <c r="C4">
        <f>C_centre!D20</f>
        <v>-0.998717119945154</v>
      </c>
      <c r="D4">
        <f>C_centre!E20</f>
        <v>-0.99871711994515366</v>
      </c>
      <c r="F4" t="str">
        <f>C_centre!G20</f>
        <v>H'A1</v>
      </c>
      <c r="J4" t="str">
        <f>C_centre!K20</f>
        <v>A1</v>
      </c>
      <c r="K4">
        <f>C_centre!L20</f>
        <v>-1.0126742123365977</v>
      </c>
      <c r="L4">
        <f>C_centre!M20</f>
        <v>-1.0126742123365975</v>
      </c>
      <c r="N4" t="str">
        <f>C_centre!O20</f>
        <v>H'A1</v>
      </c>
    </row>
    <row r="5" spans="2:14" x14ac:dyDescent="0.25">
      <c r="B5" t="str">
        <f>C_centre!C21</f>
        <v>B1</v>
      </c>
      <c r="C5">
        <f>C_centre!D21</f>
        <v>-1.1433066908198546</v>
      </c>
      <c r="D5">
        <f>C_centre!E21</f>
        <v>1.1433066908198548</v>
      </c>
      <c r="F5" t="str">
        <f>C_centre!G21</f>
        <v>H'B1</v>
      </c>
      <c r="J5" t="str">
        <f>C_centre!K21</f>
        <v>B1</v>
      </c>
      <c r="K5">
        <f>C_centre!L21</f>
        <v>-1.1592844254524648</v>
      </c>
      <c r="L5">
        <f>C_centre!M21</f>
        <v>1.159284425452465</v>
      </c>
      <c r="N5" t="str">
        <f>C_centre!O21</f>
        <v>H'B1</v>
      </c>
    </row>
    <row r="6" spans="2:14" x14ac:dyDescent="0.25">
      <c r="B6" t="str">
        <f>C_centre!C22</f>
        <v>C1</v>
      </c>
      <c r="C6">
        <f>C_centre!D22</f>
        <v>1.1433066908198548</v>
      </c>
      <c r="D6">
        <f>C_centre!E22</f>
        <v>1.1433066908198546</v>
      </c>
      <c r="F6" t="str">
        <f>C_centre!G22</f>
        <v>H'C1</v>
      </c>
      <c r="J6" t="str">
        <f>C_centre!K22</f>
        <v>C1</v>
      </c>
      <c r="K6">
        <f>C_centre!L22</f>
        <v>1.159284425452465</v>
      </c>
      <c r="L6">
        <f>C_centre!M22</f>
        <v>1.1592844254524648</v>
      </c>
      <c r="N6" t="str">
        <f>C_centre!O22</f>
        <v>H'C1</v>
      </c>
    </row>
    <row r="7" spans="2:14" x14ac:dyDescent="0.25">
      <c r="B7" t="str">
        <f>C_centre!C23</f>
        <v>D1</v>
      </c>
      <c r="C7">
        <f>C_centre!D23</f>
        <v>0.99871711994515344</v>
      </c>
      <c r="D7">
        <f>C_centre!E23</f>
        <v>-0.998717119945154</v>
      </c>
      <c r="F7" t="str">
        <f>C_centre!G23</f>
        <v>H'D1</v>
      </c>
      <c r="J7" t="str">
        <f>C_centre!K23</f>
        <v>D1</v>
      </c>
      <c r="K7">
        <f>C_centre!L23</f>
        <v>1.0126742123365973</v>
      </c>
      <c r="L7">
        <f>C_centre!M23</f>
        <v>-1.0126742123365977</v>
      </c>
      <c r="N7" t="str">
        <f>C_centre!O23</f>
        <v>H'D1</v>
      </c>
    </row>
    <row r="9" spans="2:14" x14ac:dyDescent="0.25">
      <c r="B9" t="s">
        <v>443</v>
      </c>
    </row>
    <row r="10" spans="2:14" x14ac:dyDescent="0.25">
      <c r="B10" t="str">
        <f>C_centre!C30</f>
        <v>Coordinates</v>
      </c>
      <c r="J10" t="str">
        <f>C_centre!K30</f>
        <v>Coordinates</v>
      </c>
    </row>
    <row r="11" spans="2:14" x14ac:dyDescent="0.25">
      <c r="B11" t="str">
        <f>C_centre!C31</f>
        <v>C1</v>
      </c>
      <c r="C11">
        <f>C_centre!D31</f>
        <v>1.1433066908198548</v>
      </c>
      <c r="D11">
        <f>C_centre!E31</f>
        <v>1.1433066908198546</v>
      </c>
      <c r="J11" t="str">
        <f>C_centre!K31</f>
        <v>C1</v>
      </c>
      <c r="K11">
        <f>C_centre!L31</f>
        <v>1.159284425452465</v>
      </c>
      <c r="L11">
        <f>C_centre!M31</f>
        <v>1.1592844254524648</v>
      </c>
    </row>
    <row r="12" spans="2:14" x14ac:dyDescent="0.25">
      <c r="B12" t="str">
        <f>C_centre!C32</f>
        <v>B1</v>
      </c>
      <c r="C12">
        <f>C_centre!D32</f>
        <v>-1.1433066908198546</v>
      </c>
      <c r="D12">
        <f>C_centre!E32</f>
        <v>1.1433066908198548</v>
      </c>
      <c r="J12" t="str">
        <f>C_centre!K32</f>
        <v>B1</v>
      </c>
      <c r="K12">
        <f>C_centre!L32</f>
        <v>-1.1592844254524648</v>
      </c>
      <c r="L12">
        <f>C_centre!M32</f>
        <v>1.159284425452465</v>
      </c>
    </row>
    <row r="13" spans="2:14" x14ac:dyDescent="0.25">
      <c r="B13" t="str">
        <f>C_centre!C33</f>
        <v>A1</v>
      </c>
      <c r="C13">
        <f>C_centre!D33</f>
        <v>-0.998717119945154</v>
      </c>
      <c r="D13">
        <f>C_centre!E33</f>
        <v>-0.99871711994515366</v>
      </c>
      <c r="J13" t="str">
        <f>C_centre!K33</f>
        <v>A1</v>
      </c>
      <c r="K13">
        <f>C_centre!L33</f>
        <v>-1.0126742123365977</v>
      </c>
      <c r="L13">
        <f>C_centre!M33</f>
        <v>-1.0126742123365975</v>
      </c>
    </row>
    <row r="16" spans="2:14" x14ac:dyDescent="0.25">
      <c r="B16" t="s">
        <v>452</v>
      </c>
      <c r="C16">
        <f>MAX(C11-C12,C11-C13)</f>
        <v>2.2866133816397092</v>
      </c>
      <c r="D16">
        <f>MAX(D11-D12,D11-D13)</f>
        <v>2.142023810765008</v>
      </c>
      <c r="J16" t="s">
        <v>452</v>
      </c>
      <c r="K16">
        <f>MAX(K11-K12,K11-K13)</f>
        <v>2.3185688509049296</v>
      </c>
      <c r="L16">
        <f>MAX(L11-L12,L11-L13)</f>
        <v>2.1719586377890625</v>
      </c>
    </row>
    <row r="17" spans="2:12" x14ac:dyDescent="0.25">
      <c r="B17" t="s">
        <v>130</v>
      </c>
      <c r="D17">
        <f>SQRT(C16^2+D16^2)</f>
        <v>3.1331879552586743</v>
      </c>
      <c r="J17" t="s">
        <v>130</v>
      </c>
      <c r="L17">
        <f>SQRT(K16^2+L16^2)</f>
        <v>3.1769743216861426</v>
      </c>
    </row>
    <row r="19" spans="2:12" x14ac:dyDescent="0.25">
      <c r="B19" t="s">
        <v>453</v>
      </c>
      <c r="J19" t="s">
        <v>453</v>
      </c>
    </row>
    <row r="20" spans="2:12" x14ac:dyDescent="0.25">
      <c r="B20" t="str">
        <f>B6</f>
        <v>C1</v>
      </c>
      <c r="C20">
        <f>C6</f>
        <v>1.1433066908198548</v>
      </c>
      <c r="D20">
        <f>D6</f>
        <v>1.1433066908198546</v>
      </c>
      <c r="J20" t="str">
        <f>J6</f>
        <v>C1</v>
      </c>
      <c r="K20">
        <f>K6</f>
        <v>1.159284425452465</v>
      </c>
      <c r="L20">
        <f>L6</f>
        <v>1.1592844254524648</v>
      </c>
    </row>
    <row r="21" spans="2:12" x14ac:dyDescent="0.25">
      <c r="B21" t="str">
        <f>B12&amp;"'"</f>
        <v>B1'</v>
      </c>
      <c r="C21">
        <f>C20</f>
        <v>1.1433066908198548</v>
      </c>
      <c r="D21">
        <f>D12</f>
        <v>1.1433066908198548</v>
      </c>
      <c r="J21" t="str">
        <f>J12&amp;"'"</f>
        <v>B1'</v>
      </c>
      <c r="K21">
        <f>K20</f>
        <v>1.159284425452465</v>
      </c>
      <c r="L21">
        <f>L12</f>
        <v>1.159284425452465</v>
      </c>
    </row>
    <row r="22" spans="2:12" x14ac:dyDescent="0.25">
      <c r="B22" t="str">
        <f>B13&amp;"'"</f>
        <v>A1'</v>
      </c>
      <c r="C22">
        <f>C13</f>
        <v>-0.998717119945154</v>
      </c>
      <c r="D22">
        <f>D20</f>
        <v>1.1433066908198546</v>
      </c>
      <c r="J22" t="str">
        <f>J13&amp;"'"</f>
        <v>A1'</v>
      </c>
      <c r="K22">
        <f>K13</f>
        <v>-1.0126742123365977</v>
      </c>
      <c r="L22">
        <f>L20</f>
        <v>1.1592844254524648</v>
      </c>
    </row>
    <row r="24" spans="2:12" x14ac:dyDescent="0.25">
      <c r="B24" t="s">
        <v>454</v>
      </c>
      <c r="J24" t="s">
        <v>454</v>
      </c>
    </row>
    <row r="25" spans="2:12" x14ac:dyDescent="0.25">
      <c r="C25">
        <f>C20-C16/2</f>
        <v>0</v>
      </c>
      <c r="D25">
        <f>D20-D16/2</f>
        <v>7.2294785437350573E-2</v>
      </c>
      <c r="K25">
        <f>K20-K16/2</f>
        <v>0</v>
      </c>
      <c r="L25">
        <f>L20-L16/2</f>
        <v>7.3305106557933541E-2</v>
      </c>
    </row>
  </sheetData>
  <sheetProtection algorithmName="SHA-512" hashValue="cXURM1t8PAyKk5atv327+A0tdl7p+IIifkbS3YqPPl10pPBGwxd9d/oQfor6CpvFf6qST9wbzZi88crj9dK0KA==" saltValue="jwoWIDuy9/bhyFGINuxG3g==" spinCount="100000" sheet="1" objects="1" scenarios="1"/>
  <conditionalFormatting sqref="B9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>
      <selection activeCell="G31" sqref="G31:I31"/>
    </sheetView>
  </sheetViews>
  <sheetFormatPr defaultRowHeight="15" x14ac:dyDescent="0.25"/>
  <sheetData/>
  <sheetProtection algorithmName="SHA-512" hashValue="3eM3v8J/GgxvLVOhYxXpOr3bjpmZyGi6OyTJyWrzTpURzvk1kLL7/nwqAD0QxdTSuyTYLAWWL4N4e2XNWj0MTQ==" saltValue="4x8itGB99i3yPCX6TUx+8g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workbookViewId="0"/>
  </sheetViews>
  <sheetFormatPr defaultRowHeight="15" x14ac:dyDescent="0.25"/>
  <sheetData>
    <row r="1" spans="1:7" x14ac:dyDescent="0.25">
      <c r="A1" t="s">
        <v>51</v>
      </c>
      <c r="B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</row>
    <row r="2" spans="1:7" x14ac:dyDescent="0.25">
      <c r="A2" t="s">
        <v>58</v>
      </c>
      <c r="B2" t="s">
        <v>59</v>
      </c>
      <c r="C2" t="s">
        <v>60</v>
      </c>
      <c r="D2" t="s">
        <v>61</v>
      </c>
      <c r="E2" t="s">
        <v>62</v>
      </c>
      <c r="F2">
        <v>8</v>
      </c>
      <c r="G2" t="s">
        <v>63</v>
      </c>
    </row>
    <row r="3" spans="1:7" x14ac:dyDescent="0.25">
      <c r="A3" t="s">
        <v>64</v>
      </c>
      <c r="B3" t="s">
        <v>65</v>
      </c>
      <c r="C3" t="s">
        <v>66</v>
      </c>
      <c r="D3" t="s">
        <v>67</v>
      </c>
      <c r="E3" t="s">
        <v>68</v>
      </c>
      <c r="F3">
        <v>11</v>
      </c>
      <c r="G3" t="s">
        <v>69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03872-53AC-4787-90CC-0F645AB65247}">
  <dimension ref="B1:M12"/>
  <sheetViews>
    <sheetView zoomScale="115" zoomScaleNormal="115" workbookViewId="0">
      <selection activeCell="G31" sqref="G31:I31"/>
    </sheetView>
  </sheetViews>
  <sheetFormatPr defaultRowHeight="15" x14ac:dyDescent="0.25"/>
  <cols>
    <col min="1" max="1" width="0.5703125" customWidth="1"/>
    <col min="9" max="13" width="14.7109375" customWidth="1"/>
  </cols>
  <sheetData>
    <row r="1" spans="2:13" ht="2.4500000000000002" customHeight="1" x14ac:dyDescent="0.25"/>
    <row r="2" spans="2:13" x14ac:dyDescent="0.25">
      <c r="B2" s="113" t="s">
        <v>46</v>
      </c>
      <c r="C2" s="113"/>
      <c r="D2" s="113"/>
      <c r="E2" s="113" t="s">
        <v>47</v>
      </c>
      <c r="F2" s="113"/>
      <c r="G2" s="113"/>
      <c r="H2" s="113"/>
      <c r="I2" s="113" t="s">
        <v>48</v>
      </c>
      <c r="J2" s="113"/>
      <c r="K2" s="113"/>
      <c r="L2" s="113"/>
      <c r="M2" s="113"/>
    </row>
    <row r="3" spans="2:13" x14ac:dyDescent="0.25">
      <c r="B3" s="96" t="s">
        <v>49</v>
      </c>
      <c r="C3" s="96"/>
      <c r="D3" s="96"/>
      <c r="E3" s="120">
        <v>45176</v>
      </c>
      <c r="F3" s="96"/>
      <c r="G3" s="96"/>
      <c r="H3" s="96"/>
      <c r="I3" s="96" t="s">
        <v>50</v>
      </c>
      <c r="J3" s="96"/>
      <c r="K3" s="96"/>
      <c r="L3" s="96"/>
      <c r="M3" s="96"/>
    </row>
    <row r="4" spans="2:13" x14ac:dyDescent="0.25"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</row>
    <row r="5" spans="2:13" x14ac:dyDescent="0.25"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</row>
    <row r="6" spans="2:13" x14ac:dyDescent="0.25"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</row>
    <row r="7" spans="2:13" x14ac:dyDescent="0.25"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</row>
    <row r="8" spans="2:13" x14ac:dyDescent="0.25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</row>
    <row r="9" spans="2:13" x14ac:dyDescent="0.25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</row>
    <row r="10" spans="2:13" x14ac:dyDescent="0.25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</row>
    <row r="11" spans="2:13" x14ac:dyDescent="0.25"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</row>
    <row r="12" spans="2:13" x14ac:dyDescent="0.25"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</row>
  </sheetData>
  <sheetProtection algorithmName="SHA-512" hashValue="tQDTFRyqnzfcRVhrbEzEJk2a63rVNpzS48dR2ZQdaTDHiWvLhXWtjC9Xy1V1t5dasgOaVi04osgEW3trnEEhMg==" saltValue="uAsvkq1AkSKUPeL+U783Cw==" spinCount="100000" sheet="1" objects="1" scenarios="1"/>
  <mergeCells count="33">
    <mergeCell ref="B2:D2"/>
    <mergeCell ref="E2:H2"/>
    <mergeCell ref="I2:M2"/>
    <mergeCell ref="B3:D3"/>
    <mergeCell ref="E3:H3"/>
    <mergeCell ref="I3:M3"/>
    <mergeCell ref="B4:D4"/>
    <mergeCell ref="E4:H4"/>
    <mergeCell ref="I4:M4"/>
    <mergeCell ref="B9:D9"/>
    <mergeCell ref="E9:H9"/>
    <mergeCell ref="I9:M9"/>
    <mergeCell ref="E7:H7"/>
    <mergeCell ref="I7:M7"/>
    <mergeCell ref="B8:D8"/>
    <mergeCell ref="E8:H8"/>
    <mergeCell ref="I8:M8"/>
    <mergeCell ref="B12:D12"/>
    <mergeCell ref="E12:H12"/>
    <mergeCell ref="I12:M12"/>
    <mergeCell ref="B5:D5"/>
    <mergeCell ref="E5:H5"/>
    <mergeCell ref="I5:M5"/>
    <mergeCell ref="B6:D6"/>
    <mergeCell ref="E6:H6"/>
    <mergeCell ref="I6:M6"/>
    <mergeCell ref="B7:D7"/>
    <mergeCell ref="B10:D10"/>
    <mergeCell ref="E10:H10"/>
    <mergeCell ref="I10:M10"/>
    <mergeCell ref="B11:D11"/>
    <mergeCell ref="E11:H11"/>
    <mergeCell ref="I11:M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32"/>
  <sheetViews>
    <sheetView zoomScale="85" zoomScaleNormal="85" workbookViewId="0">
      <selection activeCell="G31" sqref="G31:I31"/>
    </sheetView>
  </sheetViews>
  <sheetFormatPr defaultRowHeight="15" x14ac:dyDescent="0.25"/>
  <cols>
    <col min="1" max="1" width="8.7109375" customWidth="1"/>
    <col min="2" max="2" width="36.5703125" bestFit="1" customWidth="1"/>
    <col min="3" max="4" width="7.5703125" style="8" customWidth="1"/>
    <col min="5" max="5" width="15.42578125" customWidth="1"/>
    <col min="6" max="9" width="12.28515625" customWidth="1"/>
    <col min="13" max="13" width="11.28515625" bestFit="1" customWidth="1"/>
    <col min="14" max="14" width="23.42578125" customWidth="1"/>
    <col min="15" max="15" width="9.140625" customWidth="1"/>
    <col min="20" max="20" width="12.42578125" customWidth="1"/>
    <col min="21" max="21" width="11" customWidth="1"/>
    <col min="22" max="22" width="11.28515625" customWidth="1"/>
    <col min="23" max="23" width="15.5703125" customWidth="1"/>
    <col min="26" max="26" width="13.5703125" customWidth="1"/>
    <col min="27" max="27" width="11.85546875" customWidth="1"/>
    <col min="28" max="28" width="10.7109375" customWidth="1"/>
    <col min="29" max="29" width="9.85546875" customWidth="1"/>
    <col min="30" max="30" width="9.5703125" customWidth="1"/>
    <col min="33" max="33" width="15.42578125" customWidth="1"/>
  </cols>
  <sheetData>
    <row r="1" spans="1:25" ht="15.75" thickBot="1" x14ac:dyDescent="0.3">
      <c r="E1" t="s">
        <v>70</v>
      </c>
    </row>
    <row r="2" spans="1:25" ht="15.75" thickBot="1" x14ac:dyDescent="0.3">
      <c r="A2" s="51"/>
      <c r="B2" s="52" t="s">
        <v>5</v>
      </c>
      <c r="C2" s="53"/>
      <c r="D2" s="53">
        <v>1</v>
      </c>
      <c r="E2" s="52" t="str">
        <f>HLOOKUP('CUSTOMER SHEET'!F8,$F$2:$I$11,D2,FALSE)</f>
        <v>VL53L8</v>
      </c>
      <c r="F2" s="91" t="s">
        <v>71</v>
      </c>
      <c r="G2" s="91" t="s">
        <v>72</v>
      </c>
      <c r="H2" s="91" t="s">
        <v>7</v>
      </c>
      <c r="I2" s="91" t="s">
        <v>73</v>
      </c>
      <c r="J2" s="52" t="s">
        <v>74</v>
      </c>
      <c r="K2" s="52"/>
      <c r="L2" s="52" t="s">
        <v>75</v>
      </c>
      <c r="M2" s="52"/>
      <c r="N2" s="54"/>
    </row>
    <row r="3" spans="1:25" ht="15" customHeight="1" x14ac:dyDescent="0.25">
      <c r="A3" s="125" t="s">
        <v>76</v>
      </c>
      <c r="B3" t="s">
        <v>77</v>
      </c>
      <c r="D3" s="8">
        <v>2</v>
      </c>
      <c r="E3">
        <f>HLOOKUP('CUSTOMER SHEET'!$F$8,$F$2:$I$14,D3,FALSE)</f>
        <v>57.6</v>
      </c>
      <c r="F3" s="93">
        <f>(Module_rZ + 61)</f>
        <v>61</v>
      </c>
      <c r="G3" s="93">
        <f>(Module_rZ + 74)</f>
        <v>74</v>
      </c>
      <c r="H3" s="93">
        <f>(Module_rZ+57.6)</f>
        <v>57.6</v>
      </c>
      <c r="I3" s="93">
        <f>52+Module_rZ</f>
        <v>52</v>
      </c>
      <c r="J3" t="s">
        <v>78</v>
      </c>
      <c r="L3" t="s">
        <v>79</v>
      </c>
      <c r="N3" s="36"/>
      <c r="Q3" s="34" t="s">
        <v>80</v>
      </c>
      <c r="R3" s="37"/>
      <c r="S3" s="37" t="s">
        <v>81</v>
      </c>
      <c r="T3" s="37"/>
      <c r="U3" s="37"/>
      <c r="V3" s="37"/>
      <c r="W3" s="37"/>
      <c r="X3" s="37"/>
      <c r="Y3" s="35"/>
    </row>
    <row r="4" spans="1:25" x14ac:dyDescent="0.25">
      <c r="A4" s="125"/>
      <c r="B4" t="s">
        <v>82</v>
      </c>
      <c r="D4" s="8">
        <v>3</v>
      </c>
      <c r="E4">
        <f>HLOOKUP('CUSTOMER SHEET'!$F$8,$F$2:$I$14,D4,FALSE)</f>
        <v>57.6</v>
      </c>
      <c r="F4" s="93">
        <f>(Module_rZ + 55.5)</f>
        <v>55.5</v>
      </c>
      <c r="G4" s="93">
        <f>(Module_rZ + 74)</f>
        <v>74</v>
      </c>
      <c r="H4" s="93">
        <f>(Module_rZ+57.6)</f>
        <v>57.6</v>
      </c>
      <c r="I4" s="93">
        <f>64+Module_rZ</f>
        <v>64</v>
      </c>
      <c r="J4" t="s">
        <v>78</v>
      </c>
      <c r="L4" t="s">
        <v>83</v>
      </c>
      <c r="N4" s="36"/>
      <c r="Q4" s="58" t="s">
        <v>84</v>
      </c>
      <c r="Y4" s="36"/>
    </row>
    <row r="5" spans="1:25" ht="18" x14ac:dyDescent="0.35">
      <c r="A5" s="125"/>
      <c r="B5" t="s">
        <v>85</v>
      </c>
      <c r="D5" s="8">
        <v>4</v>
      </c>
      <c r="E5">
        <f>HLOOKUP('CUSTOMER SHEET'!$F$8,$F$2:$I$14,D5,FALSE)</f>
        <v>0</v>
      </c>
      <c r="F5" s="93">
        <f>Module_rZ</f>
        <v>0</v>
      </c>
      <c r="G5" s="93">
        <f>Module_rZ</f>
        <v>0</v>
      </c>
      <c r="H5" s="93">
        <f>Module_rZ</f>
        <v>0</v>
      </c>
      <c r="I5" s="93">
        <v>1</v>
      </c>
      <c r="J5" t="s">
        <v>78</v>
      </c>
      <c r="N5" s="36"/>
      <c r="Q5" s="38" t="s">
        <v>86</v>
      </c>
      <c r="R5">
        <f>E12</f>
        <v>1.48</v>
      </c>
      <c r="S5" t="s">
        <v>87</v>
      </c>
      <c r="T5" t="s">
        <v>88</v>
      </c>
      <c r="U5">
        <f>E14</f>
        <v>1.5149999999999999</v>
      </c>
      <c r="V5" t="s">
        <v>87</v>
      </c>
      <c r="W5" s="9"/>
      <c r="Y5" s="36"/>
    </row>
    <row r="6" spans="1:25" ht="19.5" thickBot="1" x14ac:dyDescent="0.4">
      <c r="A6" s="125"/>
      <c r="B6" s="87" t="s">
        <v>89</v>
      </c>
      <c r="D6" s="8">
        <v>5</v>
      </c>
      <c r="E6">
        <f>HLOOKUP('CUSTOMER SHEET'!$F$8,$F$2:$I$14,D6,FALSE)</f>
        <v>0.76300000000000001</v>
      </c>
      <c r="F6" s="93">
        <v>0.63</v>
      </c>
      <c r="G6" s="93">
        <v>0.60699999999999998</v>
      </c>
      <c r="H6" s="93">
        <v>0.76300000000000001</v>
      </c>
      <c r="I6" s="93">
        <v>2.93</v>
      </c>
      <c r="J6" t="s">
        <v>87</v>
      </c>
      <c r="L6" t="s">
        <v>90</v>
      </c>
      <c r="N6" s="36"/>
      <c r="Q6" s="39" t="s">
        <v>91</v>
      </c>
      <c r="R6" s="40">
        <f>E13</f>
        <v>5.48</v>
      </c>
      <c r="S6" s="40" t="s">
        <v>87</v>
      </c>
      <c r="T6" s="40" t="s">
        <v>92</v>
      </c>
      <c r="U6" s="40">
        <f>U5</f>
        <v>1.5149999999999999</v>
      </c>
      <c r="V6" s="40" t="s">
        <v>87</v>
      </c>
      <c r="W6" s="40"/>
      <c r="X6" s="40"/>
      <c r="Y6" s="41"/>
    </row>
    <row r="7" spans="1:25" ht="18.75" x14ac:dyDescent="0.35">
      <c r="A7" s="125"/>
      <c r="B7" s="87" t="s">
        <v>93</v>
      </c>
      <c r="C7" s="88"/>
      <c r="D7" s="8">
        <v>6</v>
      </c>
      <c r="E7">
        <f>HLOOKUP('CUSTOMER SHEET'!$F$8,$F$2:$I$14,D7,FALSE)</f>
        <v>0.73599999999999999</v>
      </c>
      <c r="F7" s="93">
        <v>0.45</v>
      </c>
      <c r="G7" s="93">
        <v>0.56299999999999994</v>
      </c>
      <c r="H7" s="93">
        <v>0.73599999999999999</v>
      </c>
      <c r="I7" s="93">
        <v>1.78</v>
      </c>
      <c r="J7" t="s">
        <v>87</v>
      </c>
      <c r="L7" t="s">
        <v>94</v>
      </c>
      <c r="N7" s="36"/>
    </row>
    <row r="8" spans="1:25" ht="18" x14ac:dyDescent="0.35">
      <c r="A8" s="125"/>
      <c r="B8" t="s">
        <v>95</v>
      </c>
      <c r="C8" s="88"/>
      <c r="D8" s="8">
        <v>7</v>
      </c>
      <c r="E8">
        <f>HLOOKUP('CUSTOMER SHEET'!$F$8,$F$2:$I$14,D8,FALSE)</f>
        <v>3.03</v>
      </c>
      <c r="F8" s="93">
        <v>3.03</v>
      </c>
      <c r="G8" s="93">
        <v>3.03</v>
      </c>
      <c r="H8" s="93">
        <v>3.03</v>
      </c>
      <c r="I8" s="93">
        <v>6.1</v>
      </c>
      <c r="J8" t="s">
        <v>87</v>
      </c>
      <c r="L8" t="s">
        <v>96</v>
      </c>
      <c r="N8" s="36"/>
    </row>
    <row r="9" spans="1:25" ht="18" x14ac:dyDescent="0.35">
      <c r="A9" s="125"/>
      <c r="B9" t="s">
        <v>97</v>
      </c>
      <c r="C9" s="88"/>
      <c r="D9" s="8">
        <v>8</v>
      </c>
      <c r="E9">
        <f>HLOOKUP('CUSTOMER SHEET'!$F$8,$F$2:$I$14,D9,FALSE)</f>
        <v>6.4</v>
      </c>
      <c r="F9" s="93">
        <v>6.4</v>
      </c>
      <c r="G9" s="93">
        <v>6.4</v>
      </c>
      <c r="H9" s="93">
        <v>6.4</v>
      </c>
      <c r="I9" s="93">
        <v>12.8</v>
      </c>
      <c r="J9" t="s">
        <v>87</v>
      </c>
      <c r="L9" t="s">
        <v>98</v>
      </c>
      <c r="N9" s="36"/>
    </row>
    <row r="10" spans="1:25" ht="18" x14ac:dyDescent="0.35">
      <c r="A10" s="125"/>
      <c r="B10" t="s">
        <v>99</v>
      </c>
      <c r="C10" s="88"/>
      <c r="D10" s="8">
        <v>9</v>
      </c>
      <c r="E10">
        <f>HLOOKUP('CUSTOMER SHEET'!$F$8,$F$2:$I$14,D10,FALSE)</f>
        <v>4</v>
      </c>
      <c r="F10" s="93">
        <v>4</v>
      </c>
      <c r="G10" s="93">
        <v>4</v>
      </c>
      <c r="H10" s="93">
        <v>4</v>
      </c>
      <c r="I10" s="93">
        <v>7.1660000000000004</v>
      </c>
      <c r="J10" t="s">
        <v>87</v>
      </c>
      <c r="L10" t="s">
        <v>98</v>
      </c>
      <c r="N10" s="36"/>
    </row>
    <row r="11" spans="1:25" x14ac:dyDescent="0.25">
      <c r="A11" s="125"/>
      <c r="B11" t="s">
        <v>100</v>
      </c>
      <c r="D11" s="8">
        <v>10</v>
      </c>
      <c r="E11">
        <f>HLOOKUP('CUSTOMER SHEET'!$F$8,$F$2:$I$14,D11,FALSE)</f>
        <v>4</v>
      </c>
      <c r="F11" s="94">
        <f>F10/COS(RADIANS(E21))</f>
        <v>4</v>
      </c>
      <c r="G11" s="94">
        <f>G10/COS(RADIANS(E21))</f>
        <v>4</v>
      </c>
      <c r="H11" s="94">
        <f>H10/COS(RADIANS(E21))</f>
        <v>4</v>
      </c>
      <c r="I11" s="94">
        <f>I10/COS(RADIANS(E21))</f>
        <v>7.1660000000000004</v>
      </c>
      <c r="J11" t="s">
        <v>87</v>
      </c>
      <c r="N11" s="36"/>
    </row>
    <row r="12" spans="1:25" x14ac:dyDescent="0.25">
      <c r="A12" s="92"/>
      <c r="B12" t="s">
        <v>101</v>
      </c>
      <c r="D12" s="8">
        <v>11</v>
      </c>
      <c r="E12">
        <f>HLOOKUP('CUSTOMER SHEET'!$F$8,$F$2:$I$14,D12,FALSE)</f>
        <v>1.48</v>
      </c>
      <c r="F12" s="94">
        <v>1.48</v>
      </c>
      <c r="G12" s="94">
        <v>1.48</v>
      </c>
      <c r="H12" s="94">
        <v>1.48</v>
      </c>
      <c r="I12" s="94">
        <v>2.1840000000000002</v>
      </c>
      <c r="J12" t="s">
        <v>87</v>
      </c>
      <c r="L12" t="s">
        <v>102</v>
      </c>
      <c r="N12" s="36"/>
    </row>
    <row r="13" spans="1:25" x14ac:dyDescent="0.25">
      <c r="A13" s="92"/>
      <c r="B13" t="s">
        <v>103</v>
      </c>
      <c r="D13" s="8">
        <v>12</v>
      </c>
      <c r="E13">
        <f>HLOOKUP('CUSTOMER SHEET'!$F$8,$F$2:$I$14,D13,FALSE)</f>
        <v>5.48</v>
      </c>
      <c r="F13" s="94">
        <f t="shared" ref="F13:H13" si="0">F10+F12</f>
        <v>5.48</v>
      </c>
      <c r="G13" s="94">
        <f t="shared" si="0"/>
        <v>5.48</v>
      </c>
      <c r="H13" s="94">
        <f t="shared" si="0"/>
        <v>5.48</v>
      </c>
      <c r="I13" s="94">
        <f>I10+I12</f>
        <v>9.3500000000000014</v>
      </c>
      <c r="J13" t="s">
        <v>87</v>
      </c>
      <c r="L13" t="s">
        <v>104</v>
      </c>
      <c r="N13" s="36"/>
    </row>
    <row r="14" spans="1:25" x14ac:dyDescent="0.25">
      <c r="A14" s="92"/>
      <c r="B14" t="s">
        <v>105</v>
      </c>
      <c r="D14" s="8">
        <v>13</v>
      </c>
      <c r="E14">
        <f>HLOOKUP('CUSTOMER SHEET'!$F$8,$F$2:$I$14,D14,FALSE)</f>
        <v>1.5149999999999999</v>
      </c>
      <c r="F14" s="94">
        <f t="shared" ref="F14:H14" si="1">F8/2</f>
        <v>1.5149999999999999</v>
      </c>
      <c r="G14" s="94">
        <f t="shared" si="1"/>
        <v>1.5149999999999999</v>
      </c>
      <c r="H14" s="94">
        <f t="shared" si="1"/>
        <v>1.5149999999999999</v>
      </c>
      <c r="I14" s="94">
        <f>I8/2</f>
        <v>3.05</v>
      </c>
      <c r="J14" t="s">
        <v>87</v>
      </c>
      <c r="L14" t="s">
        <v>106</v>
      </c>
      <c r="N14" s="36"/>
    </row>
    <row r="15" spans="1:25" ht="18" x14ac:dyDescent="0.35">
      <c r="A15" s="89"/>
      <c r="B15" s="84"/>
      <c r="C15" s="85"/>
      <c r="D15" s="85"/>
      <c r="E15" s="86"/>
      <c r="F15" s="86"/>
      <c r="G15" s="86"/>
      <c r="H15" s="86"/>
      <c r="I15" s="86"/>
      <c r="J15" s="86"/>
      <c r="K15" s="86"/>
      <c r="L15" s="86"/>
      <c r="M15" s="86"/>
      <c r="N15" s="90"/>
    </row>
    <row r="16" spans="1:25" ht="25.5" customHeight="1" x14ac:dyDescent="0.25">
      <c r="A16" s="124" t="s">
        <v>107</v>
      </c>
      <c r="B16" s="47" t="s">
        <v>108</v>
      </c>
      <c r="C16" s="48"/>
      <c r="D16" s="48"/>
      <c r="E16" s="47">
        <f>(Airgap + Module_ZTol)</f>
        <v>1.01</v>
      </c>
      <c r="F16" s="47"/>
      <c r="G16" s="47"/>
      <c r="H16" s="47"/>
      <c r="I16" s="47"/>
      <c r="J16" s="47" t="s">
        <v>87</v>
      </c>
      <c r="K16" s="47"/>
      <c r="L16" s="47"/>
      <c r="M16" s="47"/>
      <c r="N16" s="55"/>
    </row>
    <row r="17" spans="1:33" ht="25.5" customHeight="1" x14ac:dyDescent="0.35">
      <c r="A17" s="125"/>
      <c r="B17" s="49" t="s">
        <v>109</v>
      </c>
      <c r="C17" s="50" t="s">
        <v>110</v>
      </c>
      <c r="D17" s="50"/>
      <c r="E17" s="83">
        <f>Airgap_Diffraction_Index</f>
        <v>1</v>
      </c>
      <c r="F17" s="49"/>
      <c r="G17" s="49"/>
      <c r="H17" s="49"/>
      <c r="I17" s="49"/>
      <c r="J17" s="49"/>
      <c r="K17" s="49"/>
      <c r="L17" s="49"/>
      <c r="M17" s="49"/>
      <c r="N17" s="56"/>
    </row>
    <row r="18" spans="1:33" x14ac:dyDescent="0.25">
      <c r="A18" s="38"/>
      <c r="N18" s="36"/>
    </row>
    <row r="19" spans="1:33" x14ac:dyDescent="0.25">
      <c r="A19" s="124" t="s">
        <v>111</v>
      </c>
      <c r="B19" s="47" t="s">
        <v>112</v>
      </c>
      <c r="C19" s="48"/>
      <c r="D19" s="48"/>
      <c r="E19" s="47">
        <f>CG_Thickness</f>
        <v>0</v>
      </c>
      <c r="F19" s="47"/>
      <c r="G19" s="47"/>
      <c r="H19" s="47"/>
      <c r="I19" s="47"/>
      <c r="J19" s="47" t="s">
        <v>87</v>
      </c>
      <c r="K19" s="47"/>
      <c r="L19" s="47"/>
      <c r="M19" s="47"/>
      <c r="N19" s="55"/>
    </row>
    <row r="20" spans="1:33" ht="18" x14ac:dyDescent="0.35">
      <c r="A20" s="125"/>
      <c r="B20" t="s">
        <v>113</v>
      </c>
      <c r="C20" s="8" t="s">
        <v>114</v>
      </c>
      <c r="E20">
        <f>CG_Diffraction_Index</f>
        <v>1.5</v>
      </c>
      <c r="N20" s="36"/>
    </row>
    <row r="21" spans="1:33" x14ac:dyDescent="0.25">
      <c r="A21" s="125"/>
      <c r="B21" t="s">
        <v>115</v>
      </c>
      <c r="E21">
        <f>CG_Ry</f>
        <v>0</v>
      </c>
      <c r="J21" t="s">
        <v>78</v>
      </c>
      <c r="L21" t="s">
        <v>116</v>
      </c>
      <c r="N21" s="36"/>
    </row>
    <row r="22" spans="1:33" ht="15.75" thickBot="1" x14ac:dyDescent="0.3">
      <c r="A22" s="126"/>
      <c r="B22" s="40" t="s">
        <v>117</v>
      </c>
      <c r="C22" s="57"/>
      <c r="D22" s="57"/>
      <c r="E22" s="40">
        <f>CG_Rx</f>
        <v>7</v>
      </c>
      <c r="F22" s="40"/>
      <c r="G22" s="40"/>
      <c r="H22" s="40"/>
      <c r="I22" s="40"/>
      <c r="J22" s="40" t="s">
        <v>78</v>
      </c>
      <c r="K22" s="40"/>
      <c r="L22" s="40" t="s">
        <v>118</v>
      </c>
      <c r="M22" s="40"/>
      <c r="N22" s="41"/>
    </row>
    <row r="25" spans="1:33" ht="15.75" thickBot="1" x14ac:dyDescent="0.3"/>
    <row r="26" spans="1:33" ht="33" customHeight="1" x14ac:dyDescent="0.25">
      <c r="B26" s="34" t="s">
        <v>119</v>
      </c>
      <c r="C26" s="127" t="s">
        <v>120</v>
      </c>
      <c r="D26" s="127"/>
      <c r="E26" s="127"/>
      <c r="F26" s="127"/>
      <c r="G26" s="127"/>
      <c r="H26" s="127"/>
      <c r="I26" s="127"/>
      <c r="J26" s="128"/>
      <c r="M26" s="34" t="s">
        <v>119</v>
      </c>
      <c r="N26" s="127" t="s">
        <v>121</v>
      </c>
      <c r="O26" s="127"/>
      <c r="P26" s="128"/>
      <c r="S26" s="34" t="s">
        <v>122</v>
      </c>
      <c r="T26" s="37"/>
      <c r="U26" s="37"/>
      <c r="V26" s="37"/>
      <c r="W26" s="35"/>
      <c r="Z26" s="121" t="s">
        <v>123</v>
      </c>
      <c r="AA26" s="122"/>
      <c r="AB26" s="122"/>
      <c r="AC26" s="122"/>
      <c r="AD26" s="123"/>
      <c r="AE26" s="62"/>
      <c r="AG26" s="64" t="s">
        <v>124</v>
      </c>
    </row>
    <row r="27" spans="1:33" x14ac:dyDescent="0.25">
      <c r="B27" s="46" t="s">
        <v>31</v>
      </c>
      <c r="C27" s="2"/>
      <c r="D27" s="2"/>
      <c r="J27" s="36"/>
      <c r="M27" s="46" t="s">
        <v>31</v>
      </c>
      <c r="N27" s="2"/>
      <c r="P27" s="36"/>
      <c r="S27" s="46" t="s">
        <v>31</v>
      </c>
      <c r="W27" s="36"/>
      <c r="Z27" s="46" t="s">
        <v>31</v>
      </c>
      <c r="AD27" s="36"/>
      <c r="AE27" s="63" t="s">
        <v>125</v>
      </c>
      <c r="AG27" s="63"/>
    </row>
    <row r="28" spans="1:33" ht="18" x14ac:dyDescent="0.35">
      <c r="B28" s="42" t="s">
        <v>126</v>
      </c>
      <c r="C28" s="44"/>
      <c r="D28" s="44"/>
      <c r="E28" s="65">
        <f>Rx_final!C43</f>
        <v>3.029279124109975</v>
      </c>
      <c r="F28" s="65"/>
      <c r="G28" s="65"/>
      <c r="H28" s="65"/>
      <c r="I28" s="65"/>
      <c r="J28" s="66" t="s">
        <v>87</v>
      </c>
      <c r="K28" s="67"/>
      <c r="L28" s="67"/>
      <c r="M28" s="68" t="s">
        <v>126</v>
      </c>
      <c r="N28" s="69"/>
      <c r="O28" s="65">
        <f>Refraction!C28</f>
        <v>3.029279124109975</v>
      </c>
      <c r="P28" s="66" t="s">
        <v>87</v>
      </c>
      <c r="Q28" s="67"/>
      <c r="R28" s="67"/>
      <c r="S28" s="68" t="s">
        <v>127</v>
      </c>
      <c r="T28" s="65">
        <f>TRUNC(C_centre!D40,4)</f>
        <v>0</v>
      </c>
      <c r="U28" s="70" t="s">
        <v>87</v>
      </c>
      <c r="V28" s="65" t="s">
        <v>128</v>
      </c>
      <c r="W28" s="66"/>
      <c r="X28" s="67"/>
      <c r="Y28" s="67"/>
      <c r="Z28" s="68" t="s">
        <v>129</v>
      </c>
      <c r="AA28" s="65">
        <f>R_centre!C25</f>
        <v>0</v>
      </c>
      <c r="AB28" s="70" t="s">
        <v>87</v>
      </c>
      <c r="AC28" s="65" t="s">
        <v>130</v>
      </c>
      <c r="AD28" s="66"/>
      <c r="AE28" s="71">
        <f>R_centre!C16</f>
        <v>2.2866133816397092</v>
      </c>
      <c r="AF28" s="67"/>
      <c r="AG28" s="71"/>
    </row>
    <row r="29" spans="1:33" ht="18" x14ac:dyDescent="0.35">
      <c r="B29" s="42" t="s">
        <v>131</v>
      </c>
      <c r="C29" s="44"/>
      <c r="D29" s="44"/>
      <c r="E29" s="65">
        <f>Rx_final!C44</f>
        <v>3.029279124109975</v>
      </c>
      <c r="F29" s="65"/>
      <c r="G29" s="65"/>
      <c r="H29" s="65"/>
      <c r="I29" s="65"/>
      <c r="J29" s="66" t="s">
        <v>87</v>
      </c>
      <c r="K29" s="67"/>
      <c r="L29" s="67"/>
      <c r="M29" s="68" t="s">
        <v>131</v>
      </c>
      <c r="N29" s="69"/>
      <c r="O29" s="65">
        <f>Refraction!C29</f>
        <v>3.029279124109975</v>
      </c>
      <c r="P29" s="66" t="s">
        <v>87</v>
      </c>
      <c r="Q29" s="67"/>
      <c r="R29" s="67"/>
      <c r="S29" s="68" t="s">
        <v>132</v>
      </c>
      <c r="T29" s="65">
        <f>TRUNC(C_centre!E40,4)</f>
        <v>0.14449999999999999</v>
      </c>
      <c r="U29" s="70" t="s">
        <v>87</v>
      </c>
      <c r="V29" s="65">
        <f>C_centre!D41*2</f>
        <v>3.0361726399827722</v>
      </c>
      <c r="W29" s="66" t="s">
        <v>87</v>
      </c>
      <c r="X29" s="67"/>
      <c r="Y29" s="67"/>
      <c r="Z29" s="68" t="s">
        <v>133</v>
      </c>
      <c r="AA29" s="65">
        <f>R_centre!D25</f>
        <v>7.2294785437350573E-2</v>
      </c>
      <c r="AB29" s="70" t="s">
        <v>87</v>
      </c>
      <c r="AC29" s="65">
        <f>R_centre!D17</f>
        <v>3.1331879552586743</v>
      </c>
      <c r="AD29" s="66" t="s">
        <v>87</v>
      </c>
      <c r="AE29" s="71">
        <f>R_centre!D16</f>
        <v>2.142023810765008</v>
      </c>
      <c r="AF29" s="67"/>
      <c r="AG29" s="71"/>
    </row>
    <row r="30" spans="1:33" x14ac:dyDescent="0.25">
      <c r="B30" s="46" t="s">
        <v>134</v>
      </c>
      <c r="E30" s="72"/>
      <c r="F30" s="72"/>
      <c r="G30" s="72"/>
      <c r="H30" s="72"/>
      <c r="I30" s="72"/>
      <c r="J30" s="73"/>
      <c r="K30" s="67"/>
      <c r="L30" s="67"/>
      <c r="M30" s="74" t="s">
        <v>134</v>
      </c>
      <c r="N30" s="75"/>
      <c r="O30" s="72"/>
      <c r="P30" s="73"/>
      <c r="Q30" s="67"/>
      <c r="R30" s="67"/>
      <c r="S30" s="74" t="s">
        <v>134</v>
      </c>
      <c r="T30" s="67"/>
      <c r="U30" s="67"/>
      <c r="V30" s="67"/>
      <c r="W30" s="73"/>
      <c r="X30" s="67"/>
      <c r="Y30" s="67"/>
      <c r="Z30" s="74" t="s">
        <v>134</v>
      </c>
      <c r="AA30" s="67"/>
      <c r="AB30" s="67"/>
      <c r="AC30" s="67"/>
      <c r="AD30" s="73"/>
      <c r="AE30" s="76"/>
      <c r="AF30" s="67"/>
      <c r="AG30" s="76"/>
    </row>
    <row r="31" spans="1:33" ht="18" x14ac:dyDescent="0.35">
      <c r="B31" s="42" t="s">
        <v>126</v>
      </c>
      <c r="C31" s="44"/>
      <c r="D31" s="44"/>
      <c r="E31" s="65">
        <f>Tx_final!C43</f>
        <v>3.0716133624746851</v>
      </c>
      <c r="F31" s="65"/>
      <c r="G31" s="65"/>
      <c r="H31" s="65"/>
      <c r="I31" s="65"/>
      <c r="J31" s="66" t="s">
        <v>87</v>
      </c>
      <c r="K31" s="67"/>
      <c r="L31" s="67"/>
      <c r="M31" s="68" t="s">
        <v>126</v>
      </c>
      <c r="N31" s="69"/>
      <c r="O31" s="65">
        <f>Refraction!K28</f>
        <v>3.0716133624746851</v>
      </c>
      <c r="P31" s="66" t="s">
        <v>87</v>
      </c>
      <c r="Q31" s="67"/>
      <c r="R31" s="67"/>
      <c r="S31" s="68" t="s">
        <v>127</v>
      </c>
      <c r="T31" s="65">
        <f>TRUNC(C_centre!L40,4)</f>
        <v>0</v>
      </c>
      <c r="U31" s="70" t="s">
        <v>87</v>
      </c>
      <c r="V31" s="65" t="s">
        <v>128</v>
      </c>
      <c r="W31" s="66"/>
      <c r="X31" s="67"/>
      <c r="Y31" s="67"/>
      <c r="Z31" s="68" t="s">
        <v>129</v>
      </c>
      <c r="AA31" s="65">
        <f>R_centre!K25</f>
        <v>0</v>
      </c>
      <c r="AB31" s="70" t="s">
        <v>87</v>
      </c>
      <c r="AC31" s="65" t="s">
        <v>130</v>
      </c>
      <c r="AD31" s="66"/>
      <c r="AE31" s="71">
        <f>R_centre!K16</f>
        <v>2.3185688509049296</v>
      </c>
      <c r="AF31" s="67"/>
      <c r="AG31" s="71">
        <f>E11+(0.5*R_centre!C16)+(0.5*R_centre!K16)</f>
        <v>6.3025911162723194</v>
      </c>
    </row>
    <row r="32" spans="1:33" ht="18.75" thickBot="1" x14ac:dyDescent="0.4">
      <c r="B32" s="43" t="s">
        <v>131</v>
      </c>
      <c r="C32" s="45"/>
      <c r="D32" s="45"/>
      <c r="E32" s="77">
        <f>Tx_final!C44</f>
        <v>3.0716133624746851</v>
      </c>
      <c r="F32" s="77"/>
      <c r="G32" s="77"/>
      <c r="H32" s="77"/>
      <c r="I32" s="77"/>
      <c r="J32" s="78" t="s">
        <v>87</v>
      </c>
      <c r="K32" s="67"/>
      <c r="L32" s="67"/>
      <c r="M32" s="79" t="s">
        <v>131</v>
      </c>
      <c r="N32" s="80"/>
      <c r="O32" s="77">
        <f>Refraction!K29</f>
        <v>3.0716133624746851</v>
      </c>
      <c r="P32" s="78" t="s">
        <v>87</v>
      </c>
      <c r="Q32" s="67"/>
      <c r="R32" s="67"/>
      <c r="S32" s="79" t="s">
        <v>132</v>
      </c>
      <c r="T32" s="77">
        <f>TRUNC(C_centre!M40,4)</f>
        <v>0.14660000000000001</v>
      </c>
      <c r="U32" s="81" t="s">
        <v>87</v>
      </c>
      <c r="V32" s="77">
        <f>C_centre!L41*2</f>
        <v>3.0786032153742711</v>
      </c>
      <c r="W32" s="78" t="s">
        <v>87</v>
      </c>
      <c r="X32" s="67"/>
      <c r="Y32" s="67"/>
      <c r="Z32" s="79" t="s">
        <v>133</v>
      </c>
      <c r="AA32" s="77">
        <f>R_centre!L25</f>
        <v>7.3305106557933541E-2</v>
      </c>
      <c r="AB32" s="81" t="s">
        <v>87</v>
      </c>
      <c r="AC32" s="77">
        <f>R_centre!L17</f>
        <v>3.1769743216861426</v>
      </c>
      <c r="AD32" s="78" t="s">
        <v>87</v>
      </c>
      <c r="AE32" s="82">
        <f>R_centre!L16</f>
        <v>2.1719586377890625</v>
      </c>
      <c r="AF32" s="67"/>
      <c r="AG32" s="82">
        <f>R_centre!L16</f>
        <v>2.1719586377890625</v>
      </c>
    </row>
  </sheetData>
  <mergeCells count="6">
    <mergeCell ref="Z26:AD26"/>
    <mergeCell ref="A19:A22"/>
    <mergeCell ref="C26:J26"/>
    <mergeCell ref="N26:P26"/>
    <mergeCell ref="A3:A11"/>
    <mergeCell ref="A16:A17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4"/>
  <sheetViews>
    <sheetView zoomScale="110" zoomScaleNormal="110" workbookViewId="0">
      <selection activeCell="G31" sqref="G31:I31"/>
    </sheetView>
  </sheetViews>
  <sheetFormatPr defaultRowHeight="15" x14ac:dyDescent="0.25"/>
  <cols>
    <col min="1" max="1" width="10.140625" customWidth="1"/>
    <col min="2" max="2" width="46.7109375" bestFit="1" customWidth="1"/>
    <col min="3" max="3" width="12" bestFit="1" customWidth="1"/>
    <col min="4" max="4" width="6.140625" customWidth="1"/>
    <col min="5" max="5" width="13.7109375" bestFit="1" customWidth="1"/>
  </cols>
  <sheetData>
    <row r="1" spans="1:5" x14ac:dyDescent="0.25">
      <c r="A1" t="s">
        <v>135</v>
      </c>
      <c r="B1" t="s">
        <v>136</v>
      </c>
      <c r="C1" t="s">
        <v>4</v>
      </c>
      <c r="D1" t="s">
        <v>74</v>
      </c>
      <c r="E1" t="s">
        <v>5</v>
      </c>
    </row>
    <row r="2" spans="1:5" x14ac:dyDescent="0.25">
      <c r="A2" t="s">
        <v>137</v>
      </c>
      <c r="C2">
        <f>'CG_p&amp;r_receiver'!C13</f>
        <v>1.9320186097679004</v>
      </c>
    </row>
    <row r="4" spans="1:5" x14ac:dyDescent="0.25">
      <c r="A4" t="s">
        <v>138</v>
      </c>
      <c r="B4" s="9" t="s">
        <v>139</v>
      </c>
      <c r="C4">
        <f>'CG_p&amp;r_receiver'!C36</f>
        <v>0</v>
      </c>
      <c r="D4" t="s">
        <v>87</v>
      </c>
    </row>
    <row r="5" spans="1:5" x14ac:dyDescent="0.25">
      <c r="A5" t="s">
        <v>140</v>
      </c>
      <c r="B5" s="9" t="s">
        <v>141</v>
      </c>
      <c r="C5">
        <f>'CG_p&amp;r_receiver'!C39</f>
        <v>0</v>
      </c>
      <c r="D5" t="s">
        <v>87</v>
      </c>
    </row>
    <row r="6" spans="1:5" x14ac:dyDescent="0.25">
      <c r="A6" t="s">
        <v>142</v>
      </c>
      <c r="B6" s="9" t="s">
        <v>143</v>
      </c>
      <c r="C6">
        <f>'CG_p&amp;r_receiver'!C43</f>
        <v>0</v>
      </c>
      <c r="D6" t="s">
        <v>87</v>
      </c>
    </row>
    <row r="7" spans="1:5" x14ac:dyDescent="0.25">
      <c r="A7" t="s">
        <v>144</v>
      </c>
      <c r="B7" s="9" t="s">
        <v>145</v>
      </c>
      <c r="C7">
        <f>'CG_p&amp;r_receiver'!C46</f>
        <v>0</v>
      </c>
      <c r="D7" t="s">
        <v>87</v>
      </c>
    </row>
    <row r="8" spans="1:5" x14ac:dyDescent="0.25">
      <c r="A8" t="s">
        <v>146</v>
      </c>
      <c r="B8" s="9" t="s">
        <v>147</v>
      </c>
      <c r="C8">
        <f>'CG_p&amp;r_receiver'!C50</f>
        <v>0</v>
      </c>
      <c r="D8" t="s">
        <v>87</v>
      </c>
    </row>
    <row r="9" spans="1:5" x14ac:dyDescent="0.25">
      <c r="A9" t="s">
        <v>148</v>
      </c>
      <c r="B9" s="9" t="s">
        <v>149</v>
      </c>
      <c r="C9">
        <f>'CG_p&amp;r_receiver'!C53</f>
        <v>0</v>
      </c>
      <c r="D9" t="s">
        <v>87</v>
      </c>
    </row>
    <row r="12" spans="1:5" x14ac:dyDescent="0.25">
      <c r="A12" t="s">
        <v>150</v>
      </c>
      <c r="B12" s="9" t="s">
        <v>151</v>
      </c>
      <c r="C12">
        <f>Rx_Pyramid!C5</f>
        <v>1.992453144272053</v>
      </c>
      <c r="D12" t="s">
        <v>87</v>
      </c>
    </row>
    <row r="13" spans="1:5" x14ac:dyDescent="0.25">
      <c r="A13" t="s">
        <v>152</v>
      </c>
      <c r="B13" s="9" t="s">
        <v>153</v>
      </c>
      <c r="C13">
        <f>Rx_Pyramid!C9</f>
        <v>1.992453144272053</v>
      </c>
      <c r="D13" t="s">
        <v>87</v>
      </c>
    </row>
    <row r="14" spans="1:5" x14ac:dyDescent="0.25">
      <c r="A14" t="s">
        <v>154</v>
      </c>
      <c r="B14" s="9" t="s">
        <v>155</v>
      </c>
      <c r="C14">
        <f>'CG_p&amp;r_receiver'!C24-C12</f>
        <v>7.2863934898071969E-2</v>
      </c>
      <c r="D14" t="s">
        <v>87</v>
      </c>
    </row>
    <row r="15" spans="1:5" x14ac:dyDescent="0.25">
      <c r="A15" t="s">
        <v>156</v>
      </c>
      <c r="B15" s="9" t="s">
        <v>157</v>
      </c>
      <c r="C15">
        <f>'CG_p&amp;r_receiver'!C25-Rx_final!C12</f>
        <v>0.37187083508398078</v>
      </c>
      <c r="D15" t="s">
        <v>87</v>
      </c>
    </row>
    <row r="16" spans="1:5" x14ac:dyDescent="0.25">
      <c r="A16" t="s">
        <v>158</v>
      </c>
      <c r="B16" s="9" t="s">
        <v>159</v>
      </c>
      <c r="C16">
        <f>'CG_p&amp;r_receiver'!C30-Rx_final!C13</f>
        <v>0.21227569526069279</v>
      </c>
      <c r="D16" t="s">
        <v>87</v>
      </c>
    </row>
    <row r="17" spans="1:5" x14ac:dyDescent="0.25">
      <c r="A17" t="s">
        <v>160</v>
      </c>
      <c r="B17" s="9" t="s">
        <v>161</v>
      </c>
      <c r="C17">
        <f>'CG_p&amp;r_receiver'!C30-Rx_final!C13</f>
        <v>0.21227569526069279</v>
      </c>
      <c r="D17" t="s">
        <v>87</v>
      </c>
    </row>
    <row r="18" spans="1:5" x14ac:dyDescent="0.25">
      <c r="B18" s="9"/>
    </row>
    <row r="19" spans="1:5" x14ac:dyDescent="0.25">
      <c r="B19" s="9"/>
    </row>
    <row r="20" spans="1:5" x14ac:dyDescent="0.25">
      <c r="A20" t="s">
        <v>162</v>
      </c>
      <c r="B20" s="9" t="s">
        <v>163</v>
      </c>
      <c r="C20">
        <f>'CG_p&amp;r_receiver'!C24/COS(Rx_Pyramid!C17)</f>
        <v>2.292489493852218</v>
      </c>
      <c r="D20" t="s">
        <v>87</v>
      </c>
    </row>
    <row r="21" spans="1:5" x14ac:dyDescent="0.25">
      <c r="A21" t="s">
        <v>164</v>
      </c>
      <c r="B21" s="9" t="s">
        <v>165</v>
      </c>
      <c r="C21">
        <f>'CG_p&amp;r_receiver'!C25/COS(Rx_Pyramid!C17)</f>
        <v>2.6243853485753807</v>
      </c>
      <c r="D21" t="s">
        <v>87</v>
      </c>
    </row>
    <row r="22" spans="1:5" x14ac:dyDescent="0.25">
      <c r="B22" s="9"/>
    </row>
    <row r="23" spans="1:5" x14ac:dyDescent="0.25">
      <c r="B23" s="9"/>
    </row>
    <row r="24" spans="1:5" x14ac:dyDescent="0.25">
      <c r="A24" t="s">
        <v>166</v>
      </c>
      <c r="B24" s="9" t="s">
        <v>167</v>
      </c>
      <c r="C24">
        <f>C20+C8</f>
        <v>2.292489493852218</v>
      </c>
      <c r="D24" t="s">
        <v>87</v>
      </c>
    </row>
    <row r="25" spans="1:5" x14ac:dyDescent="0.25">
      <c r="A25" t="s">
        <v>168</v>
      </c>
      <c r="B25" s="9" t="s">
        <v>169</v>
      </c>
      <c r="C25">
        <f>C21+C6</f>
        <v>2.6243853485753807</v>
      </c>
      <c r="D25" t="s">
        <v>87</v>
      </c>
    </row>
    <row r="26" spans="1:5" x14ac:dyDescent="0.25">
      <c r="A26" t="s">
        <v>170</v>
      </c>
      <c r="B26" s="9" t="s">
        <v>171</v>
      </c>
      <c r="C26">
        <f>C21+C7</f>
        <v>2.6243853485753807</v>
      </c>
      <c r="D26" t="s">
        <v>87</v>
      </c>
    </row>
    <row r="27" spans="1:5" x14ac:dyDescent="0.25">
      <c r="A27" t="s">
        <v>172</v>
      </c>
      <c r="B27" s="9" t="s">
        <v>173</v>
      </c>
      <c r="C27">
        <f>C20+C9</f>
        <v>2.292489493852218</v>
      </c>
      <c r="D27" t="s">
        <v>87</v>
      </c>
    </row>
    <row r="30" spans="1:5" x14ac:dyDescent="0.25">
      <c r="A30" t="s">
        <v>174</v>
      </c>
      <c r="B30" s="9" t="s">
        <v>175</v>
      </c>
      <c r="C30">
        <f>SQRT(C24^2+$C$2^2-2*C24*$C$2*COS(Rx_Pyramid!$C$13))</f>
        <v>1.4123992960006335</v>
      </c>
      <c r="D30" t="s">
        <v>87</v>
      </c>
      <c r="E30" t="s">
        <v>176</v>
      </c>
    </row>
    <row r="31" spans="1:5" x14ac:dyDescent="0.25">
      <c r="A31" t="s">
        <v>177</v>
      </c>
      <c r="B31" s="9" t="s">
        <v>178</v>
      </c>
      <c r="C31">
        <f>SQRT(C25^2+$C$2^2-2*C25*$C$2*COS(Rx_Pyramid!$C$13))</f>
        <v>1.6168798281093415</v>
      </c>
      <c r="D31" t="s">
        <v>87</v>
      </c>
      <c r="E31" t="s">
        <v>176</v>
      </c>
    </row>
    <row r="32" spans="1:5" x14ac:dyDescent="0.25">
      <c r="A32" t="s">
        <v>179</v>
      </c>
      <c r="B32" s="9" t="s">
        <v>180</v>
      </c>
      <c r="C32">
        <f>SQRT(C26^2+$C$2^2-2*C26*$C$2*COS(Rx_Pyramid!$C$13))</f>
        <v>1.6168798281093415</v>
      </c>
      <c r="D32" t="s">
        <v>87</v>
      </c>
      <c r="E32" t="s">
        <v>176</v>
      </c>
    </row>
    <row r="33" spans="1:7" x14ac:dyDescent="0.25">
      <c r="A33" t="s">
        <v>181</v>
      </c>
      <c r="B33" s="9" t="s">
        <v>182</v>
      </c>
      <c r="C33">
        <f>SQRT(C27^2+$C$2^2-2*C27*$C$2*COS(Rx_Pyramid!$C$13))</f>
        <v>1.4123992960006335</v>
      </c>
      <c r="D33" t="s">
        <v>87</v>
      </c>
      <c r="E33" t="s">
        <v>176</v>
      </c>
    </row>
    <row r="34" spans="1:7" x14ac:dyDescent="0.25">
      <c r="B34" s="9"/>
    </row>
    <row r="35" spans="1:7" x14ac:dyDescent="0.25">
      <c r="B35" s="9"/>
    </row>
    <row r="36" spans="1:7" x14ac:dyDescent="0.25">
      <c r="A36" t="s">
        <v>183</v>
      </c>
      <c r="B36" s="9" t="s">
        <v>184</v>
      </c>
      <c r="C36">
        <f>ASIN($C$2*SIN(Rx_Pyramid!$C$13)/Rx_final!C30)</f>
        <v>0.99654927552986383</v>
      </c>
      <c r="D36" t="s">
        <v>185</v>
      </c>
    </row>
    <row r="37" spans="1:7" x14ac:dyDescent="0.25">
      <c r="A37" t="s">
        <v>186</v>
      </c>
      <c r="B37" s="9" t="s">
        <v>187</v>
      </c>
      <c r="C37">
        <f>ASIN($C$2*SIN(Rx_Pyramid!$C$13)/Rx_final!C31)</f>
        <v>0.82334003132985578</v>
      </c>
      <c r="D37" t="s">
        <v>185</v>
      </c>
    </row>
    <row r="38" spans="1:7" x14ac:dyDescent="0.25">
      <c r="A38" t="s">
        <v>188</v>
      </c>
      <c r="B38" s="9" t="s">
        <v>189</v>
      </c>
      <c r="C38">
        <f>ASIN($C$2*SIN(Rx_Pyramid!$C$13)/Rx_final!C32)</f>
        <v>0.82334003132985578</v>
      </c>
      <c r="D38" t="s">
        <v>185</v>
      </c>
    </row>
    <row r="39" spans="1:7" x14ac:dyDescent="0.25">
      <c r="A39" t="s">
        <v>190</v>
      </c>
      <c r="B39" s="9" t="s">
        <v>191</v>
      </c>
      <c r="C39">
        <f>ASIN($C$2*SIN(Rx_Pyramid!$C$13)/Rx_final!C33)</f>
        <v>0.99654927552986383</v>
      </c>
      <c r="D39" t="s">
        <v>185</v>
      </c>
    </row>
    <row r="40" spans="1:7" x14ac:dyDescent="0.25">
      <c r="B40" s="9"/>
    </row>
    <row r="42" spans="1:7" x14ac:dyDescent="0.25">
      <c r="A42" t="s">
        <v>192</v>
      </c>
    </row>
    <row r="43" spans="1:7" x14ac:dyDescent="0.25">
      <c r="A43" t="s">
        <v>193</v>
      </c>
      <c r="B43" s="9" t="s">
        <v>194</v>
      </c>
      <c r="C43" s="33">
        <f>C30+C32</f>
        <v>3.029279124109975</v>
      </c>
      <c r="D43" t="s">
        <v>87</v>
      </c>
      <c r="E43" t="s">
        <v>195</v>
      </c>
      <c r="F43">
        <f>2*Rx_Pyramid!C7</f>
        <v>2.7149269339996476</v>
      </c>
      <c r="G43" t="s">
        <v>87</v>
      </c>
    </row>
    <row r="44" spans="1:7" x14ac:dyDescent="0.25">
      <c r="A44" t="s">
        <v>196</v>
      </c>
      <c r="B44" s="9" t="s">
        <v>197</v>
      </c>
      <c r="C44" s="33">
        <f>C31+C33</f>
        <v>3.029279124109975</v>
      </c>
      <c r="D44" t="s">
        <v>87</v>
      </c>
    </row>
  </sheetData>
  <sheetProtection algorithmName="SHA-512" hashValue="BwKFjuR91mSHK8eICBCO1zraQ3myxpJIjn51CtHHmoVblLcV6pJBQUEmHBwwRP2THSy2WQDeYYznEJfNQ7QyUw==" saltValue="rt+kdEi3rjDHsebQgiLdVQ==" spinCount="100000" sheet="1" objects="1" scenarios="1"/>
  <conditionalFormatting sqref="A4:D9">
    <cfRule type="cellIs" dxfId="33" priority="6" operator="lessThan">
      <formula>0</formula>
    </cfRule>
  </conditionalFormatting>
  <conditionalFormatting sqref="A1:E3 A12:A28 A30:A40 A42:A46">
    <cfRule type="cellIs" dxfId="32" priority="7" operator="lessThan">
      <formula>0</formula>
    </cfRule>
  </conditionalFormatting>
  <conditionalFormatting sqref="D12:D27">
    <cfRule type="cellIs" dxfId="31" priority="4" operator="lessThan">
      <formula>0</formula>
    </cfRule>
  </conditionalFormatting>
  <conditionalFormatting sqref="D30:D40">
    <cfRule type="cellIs" dxfId="30" priority="1" operator="lessThan">
      <formula>0</formula>
    </cfRule>
  </conditionalFormatting>
  <conditionalFormatting sqref="D43:D44">
    <cfRule type="cellIs" dxfId="29" priority="2" operator="lessThan">
      <formula>0</formula>
    </cfRule>
  </conditionalFormatting>
  <hyperlinks>
    <hyperlink ref="A27" r:id="rId1" display="OD@" xr:uid="{00000000-0004-0000-0900-000000000000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2"/>
  <sheetViews>
    <sheetView topLeftCell="A4" zoomScale="120" zoomScaleNormal="120" workbookViewId="0">
      <selection activeCell="G31" sqref="G31:I31"/>
    </sheetView>
  </sheetViews>
  <sheetFormatPr defaultRowHeight="15" x14ac:dyDescent="0.25"/>
  <cols>
    <col min="2" max="2" width="22.85546875" style="10" bestFit="1" customWidth="1"/>
  </cols>
  <sheetData>
    <row r="1" spans="1:7" x14ac:dyDescent="0.25">
      <c r="A1" t="s">
        <v>135</v>
      </c>
      <c r="B1" s="10" t="s">
        <v>136</v>
      </c>
      <c r="C1" t="s">
        <v>4</v>
      </c>
      <c r="D1" t="s">
        <v>74</v>
      </c>
      <c r="E1" t="s">
        <v>5</v>
      </c>
    </row>
    <row r="2" spans="1:7" x14ac:dyDescent="0.25">
      <c r="A2" s="23" t="s">
        <v>198</v>
      </c>
      <c r="B2" s="24" t="s">
        <v>199</v>
      </c>
      <c r="C2" s="25">
        <f>Input_data!E7+Input_data!E16</f>
        <v>1.746</v>
      </c>
      <c r="E2" t="s">
        <v>200</v>
      </c>
    </row>
    <row r="3" spans="1:7" x14ac:dyDescent="0.25">
      <c r="A3" s="2" t="s">
        <v>201</v>
      </c>
      <c r="B3" s="11" t="s">
        <v>202</v>
      </c>
      <c r="C3">
        <f>2*C10</f>
        <v>1.9197432454571532</v>
      </c>
    </row>
    <row r="4" spans="1:7" x14ac:dyDescent="0.25">
      <c r="A4" s="2" t="s">
        <v>203</v>
      </c>
      <c r="B4" s="11" t="s">
        <v>204</v>
      </c>
      <c r="C4">
        <f>2*C6</f>
        <v>1.9197432454571532</v>
      </c>
    </row>
    <row r="5" spans="1:7" x14ac:dyDescent="0.25">
      <c r="A5" s="3" t="s">
        <v>205</v>
      </c>
      <c r="B5" s="12" t="s">
        <v>206</v>
      </c>
      <c r="C5">
        <f>SQRT(C2^2+C6^2)</f>
        <v>1.992453144272053</v>
      </c>
    </row>
    <row r="6" spans="1:7" x14ac:dyDescent="0.25">
      <c r="A6" s="4" t="s">
        <v>207</v>
      </c>
      <c r="B6" s="13" t="s">
        <v>208</v>
      </c>
      <c r="C6">
        <f>C2*TAN(C11)</f>
        <v>0.95987162272857662</v>
      </c>
    </row>
    <row r="7" spans="1:7" x14ac:dyDescent="0.25">
      <c r="A7" s="5" t="s">
        <v>209</v>
      </c>
      <c r="B7" s="15" t="s">
        <v>210</v>
      </c>
      <c r="C7">
        <f>SQRT(C6^2+C10^2)</f>
        <v>1.3574634669998238</v>
      </c>
    </row>
    <row r="8" spans="1:7" x14ac:dyDescent="0.25">
      <c r="A8" s="6" t="s">
        <v>211</v>
      </c>
      <c r="B8" s="16" t="s">
        <v>212</v>
      </c>
      <c r="C8">
        <f>SQRT(C2^2+C7^2)</f>
        <v>2.2116109658434913</v>
      </c>
    </row>
    <row r="9" spans="1:7" x14ac:dyDescent="0.25">
      <c r="A9" s="7" t="s">
        <v>213</v>
      </c>
      <c r="B9" s="14" t="s">
        <v>214</v>
      </c>
      <c r="C9">
        <f>SQRT(C2^2+C10^2)</f>
        <v>1.992453144272053</v>
      </c>
    </row>
    <row r="10" spans="1:7" x14ac:dyDescent="0.25">
      <c r="A10" s="1" t="s">
        <v>215</v>
      </c>
      <c r="B10" s="15" t="s">
        <v>216</v>
      </c>
      <c r="C10">
        <f>C2*TAN(C12)</f>
        <v>0.95987162272857662</v>
      </c>
    </row>
    <row r="11" spans="1:7" x14ac:dyDescent="0.25">
      <c r="A11" s="17" t="s">
        <v>217</v>
      </c>
      <c r="B11" s="18"/>
      <c r="C11" s="19">
        <f>RADIANS(FoVy_andtol/2)</f>
        <v>0.50265482457436694</v>
      </c>
      <c r="E11" t="s">
        <v>218</v>
      </c>
      <c r="F11" t="s">
        <v>219</v>
      </c>
      <c r="G11" s="30" t="s">
        <v>205</v>
      </c>
    </row>
    <row r="12" spans="1:7" x14ac:dyDescent="0.25">
      <c r="A12" s="20" t="s">
        <v>220</v>
      </c>
      <c r="B12" s="21"/>
      <c r="C12" s="22">
        <f>RADIANS(FoVx_andtol/2)</f>
        <v>0.50265482457436694</v>
      </c>
      <c r="E12" t="s">
        <v>221</v>
      </c>
      <c r="F12" t="s">
        <v>222</v>
      </c>
      <c r="G12" s="30" t="s">
        <v>207</v>
      </c>
    </row>
    <row r="13" spans="1:7" x14ac:dyDescent="0.25">
      <c r="A13" t="s">
        <v>223</v>
      </c>
      <c r="B13" s="11" t="s">
        <v>224</v>
      </c>
      <c r="C13">
        <f>ATAN(C7/C2)</f>
        <v>0.66085167336503681</v>
      </c>
      <c r="D13" t="s">
        <v>225</v>
      </c>
      <c r="E13" t="s">
        <v>226</v>
      </c>
      <c r="F13" s="30" t="s">
        <v>227</v>
      </c>
    </row>
    <row r="14" spans="1:7" x14ac:dyDescent="0.25">
      <c r="A14" t="s">
        <v>223</v>
      </c>
      <c r="C14">
        <f>DEGREES(C13)</f>
        <v>37.864011767974645</v>
      </c>
      <c r="D14" t="s">
        <v>78</v>
      </c>
      <c r="E14" t="s">
        <v>226</v>
      </c>
      <c r="F14" s="30" t="s">
        <v>227</v>
      </c>
    </row>
    <row r="16" spans="1:7" x14ac:dyDescent="0.25">
      <c r="A16" t="s">
        <v>228</v>
      </c>
      <c r="B16" s="11" t="s">
        <v>229</v>
      </c>
      <c r="C16">
        <f>ATAN(C6/C9)</f>
        <v>0.44894428756090049</v>
      </c>
      <c r="D16" s="31" t="s">
        <v>230</v>
      </c>
      <c r="E16" t="s">
        <v>231</v>
      </c>
      <c r="F16" s="30" t="s">
        <v>205</v>
      </c>
    </row>
    <row r="17" spans="1:6" x14ac:dyDescent="0.25">
      <c r="A17" t="s">
        <v>232</v>
      </c>
      <c r="B17" s="11" t="s">
        <v>233</v>
      </c>
      <c r="C17">
        <f>ATAN(C10/C5)</f>
        <v>0.44894428756090049</v>
      </c>
      <c r="D17" s="31" t="s">
        <v>213</v>
      </c>
      <c r="E17" t="s">
        <v>234</v>
      </c>
      <c r="F17" s="30" t="s">
        <v>207</v>
      </c>
    </row>
    <row r="18" spans="1:6" x14ac:dyDescent="0.25">
      <c r="A18" t="s">
        <v>228</v>
      </c>
      <c r="B18" s="11" t="s">
        <v>235</v>
      </c>
      <c r="C18">
        <f>ATAN(TAN(C11)*COS(C12))</f>
        <v>0.44894428756090049</v>
      </c>
      <c r="D18" s="31" t="s">
        <v>230</v>
      </c>
    </row>
    <row r="19" spans="1:6" x14ac:dyDescent="0.25">
      <c r="A19" t="s">
        <v>232</v>
      </c>
      <c r="B19" s="11" t="s">
        <v>236</v>
      </c>
      <c r="C19">
        <f>ATAN(TAN(C12)*COS(C11))</f>
        <v>0.44894428756090049</v>
      </c>
      <c r="D19" s="31" t="s">
        <v>213</v>
      </c>
    </row>
    <row r="22" spans="1:6" x14ac:dyDescent="0.25">
      <c r="A22" t="s">
        <v>237</v>
      </c>
      <c r="B22" s="11" t="s">
        <v>238</v>
      </c>
      <c r="C22">
        <f>ATAN(C10/C6)</f>
        <v>0.78539816339744828</v>
      </c>
      <c r="D22" s="30" t="s">
        <v>201</v>
      </c>
    </row>
  </sheetData>
  <sheetProtection algorithmName="SHA-512" hashValue="NGgGgkH6ci/RjBUoZpCjaTmFc+FPEK/90DyjXHmwdvWgPDljiEekQbrNYIVHR1uushhLCQKorMzJzuxm4UIj/A==" saltValue="ALjbWRUbInelipecMPdzWw==" spinCount="100000" sheet="1" objects="1" scenarios="1"/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9"/>
  <sheetViews>
    <sheetView zoomScale="130" zoomScaleNormal="130" workbookViewId="0">
      <selection activeCell="G31" sqref="G31:I31"/>
    </sheetView>
  </sheetViews>
  <sheetFormatPr defaultRowHeight="15" x14ac:dyDescent="0.25"/>
  <cols>
    <col min="2" max="2" width="22.85546875" style="10" bestFit="1" customWidth="1"/>
  </cols>
  <sheetData>
    <row r="1" spans="1:7" x14ac:dyDescent="0.25">
      <c r="A1" t="s">
        <v>135</v>
      </c>
      <c r="B1" s="10" t="s">
        <v>136</v>
      </c>
      <c r="C1" t="s">
        <v>4</v>
      </c>
      <c r="D1" t="s">
        <v>74</v>
      </c>
      <c r="E1" t="s">
        <v>5</v>
      </c>
    </row>
    <row r="2" spans="1:7" x14ac:dyDescent="0.25">
      <c r="A2" s="23" t="s">
        <v>198</v>
      </c>
      <c r="B2" s="24" t="s">
        <v>239</v>
      </c>
      <c r="C2" s="25">
        <f>Input_data!E6+Input_data!E16</f>
        <v>1.7730000000000001</v>
      </c>
      <c r="E2" t="s">
        <v>200</v>
      </c>
    </row>
    <row r="3" spans="1:7" x14ac:dyDescent="0.25">
      <c r="A3" s="2" t="s">
        <v>201</v>
      </c>
      <c r="B3" s="11" t="s">
        <v>202</v>
      </c>
      <c r="C3">
        <f>2*C10</f>
        <v>1.9494299966755628</v>
      </c>
    </row>
    <row r="4" spans="1:7" x14ac:dyDescent="0.25">
      <c r="A4" s="2" t="s">
        <v>203</v>
      </c>
      <c r="B4" s="11" t="s">
        <v>204</v>
      </c>
      <c r="C4">
        <f>2*C6</f>
        <v>1.9494299966755628</v>
      </c>
    </row>
    <row r="5" spans="1:7" x14ac:dyDescent="0.25">
      <c r="A5" s="3" t="s">
        <v>205</v>
      </c>
      <c r="B5" s="12" t="s">
        <v>206</v>
      </c>
      <c r="C5">
        <f>SQRT(C2^2+C6^2)</f>
        <v>2.0232642753690437</v>
      </c>
    </row>
    <row r="6" spans="1:7" x14ac:dyDescent="0.25">
      <c r="A6" s="4" t="s">
        <v>207</v>
      </c>
      <c r="B6" s="13" t="s">
        <v>208</v>
      </c>
      <c r="C6">
        <f>C2*TAN(C11)</f>
        <v>0.97471499833778141</v>
      </c>
    </row>
    <row r="7" spans="1:7" x14ac:dyDescent="0.25">
      <c r="A7" s="5" t="s">
        <v>209</v>
      </c>
      <c r="B7" s="15" t="s">
        <v>210</v>
      </c>
      <c r="C7">
        <f>SQRT(C6^2+C10^2)</f>
        <v>1.3784551700977592</v>
      </c>
    </row>
    <row r="8" spans="1:7" x14ac:dyDescent="0.25">
      <c r="A8" s="6" t="s">
        <v>211</v>
      </c>
      <c r="B8" s="16" t="s">
        <v>212</v>
      </c>
      <c r="C8">
        <f>SQRT(C2^2+C7^2)</f>
        <v>2.2458111354183909</v>
      </c>
    </row>
    <row r="9" spans="1:7" x14ac:dyDescent="0.25">
      <c r="A9" s="7" t="s">
        <v>213</v>
      </c>
      <c r="B9" s="14" t="s">
        <v>214</v>
      </c>
      <c r="C9">
        <f>SQRT(C2^2+C10^2)</f>
        <v>2.0232642753690437</v>
      </c>
    </row>
    <row r="10" spans="1:7" x14ac:dyDescent="0.25">
      <c r="A10" s="1" t="s">
        <v>215</v>
      </c>
      <c r="B10" s="15" t="s">
        <v>216</v>
      </c>
      <c r="C10">
        <f>C2*TAN(C12)</f>
        <v>0.97471499833778141</v>
      </c>
    </row>
    <row r="11" spans="1:7" x14ac:dyDescent="0.25">
      <c r="A11" s="17" t="s">
        <v>217</v>
      </c>
      <c r="B11" s="18"/>
      <c r="C11" s="19">
        <f>RADIANS(FoVy_andtol/2)</f>
        <v>0.50265482457436694</v>
      </c>
      <c r="D11" t="s">
        <v>225</v>
      </c>
      <c r="E11" t="s">
        <v>218</v>
      </c>
      <c r="F11" t="s">
        <v>219</v>
      </c>
      <c r="G11" s="30" t="s">
        <v>205</v>
      </c>
    </row>
    <row r="12" spans="1:7" x14ac:dyDescent="0.25">
      <c r="A12" s="20" t="s">
        <v>220</v>
      </c>
      <c r="B12" s="21"/>
      <c r="C12" s="22">
        <f>RADIANS(FoVx_andtol/2)</f>
        <v>0.50265482457436694</v>
      </c>
      <c r="D12" t="s">
        <v>225</v>
      </c>
      <c r="E12" t="s">
        <v>221</v>
      </c>
      <c r="F12" t="s">
        <v>222</v>
      </c>
      <c r="G12" s="30" t="s">
        <v>207</v>
      </c>
    </row>
    <row r="13" spans="1:7" x14ac:dyDescent="0.25">
      <c r="A13" t="s">
        <v>223</v>
      </c>
      <c r="B13" s="11" t="s">
        <v>224</v>
      </c>
      <c r="C13">
        <f>ATAN(C7/C2)</f>
        <v>0.66085167336503681</v>
      </c>
      <c r="D13" t="s">
        <v>225</v>
      </c>
      <c r="E13" t="s">
        <v>226</v>
      </c>
      <c r="F13" s="30" t="s">
        <v>227</v>
      </c>
    </row>
    <row r="14" spans="1:7" x14ac:dyDescent="0.25">
      <c r="A14" t="s">
        <v>223</v>
      </c>
      <c r="C14">
        <f>DEGREES(C13)</f>
        <v>37.864011767974645</v>
      </c>
      <c r="D14" t="s">
        <v>78</v>
      </c>
      <c r="E14" t="s">
        <v>226</v>
      </c>
      <c r="F14" s="30" t="s">
        <v>227</v>
      </c>
    </row>
    <row r="16" spans="1:7" x14ac:dyDescent="0.25">
      <c r="A16" t="s">
        <v>228</v>
      </c>
      <c r="B16" s="11" t="s">
        <v>229</v>
      </c>
      <c r="C16">
        <f>ATAN(C6/C9)</f>
        <v>0.44894428756090049</v>
      </c>
      <c r="D16" t="s">
        <v>225</v>
      </c>
      <c r="E16" s="30" t="s">
        <v>230</v>
      </c>
      <c r="F16" t="s">
        <v>231</v>
      </c>
      <c r="G16" s="30" t="s">
        <v>205</v>
      </c>
    </row>
    <row r="17" spans="1:7" x14ac:dyDescent="0.25">
      <c r="A17" t="s">
        <v>232</v>
      </c>
      <c r="B17" s="11" t="s">
        <v>233</v>
      </c>
      <c r="C17">
        <f>ATAN(C10/C5)</f>
        <v>0.44894428756090049</v>
      </c>
      <c r="D17" t="s">
        <v>225</v>
      </c>
      <c r="E17" s="30" t="s">
        <v>213</v>
      </c>
      <c r="F17" t="s">
        <v>234</v>
      </c>
      <c r="G17" s="30" t="s">
        <v>207</v>
      </c>
    </row>
    <row r="18" spans="1:7" x14ac:dyDescent="0.25">
      <c r="A18" t="s">
        <v>228</v>
      </c>
      <c r="B18" s="11" t="s">
        <v>235</v>
      </c>
      <c r="C18">
        <f>ATAN(TAN(C11)*COS(C12))</f>
        <v>0.44894428756090049</v>
      </c>
      <c r="D18" t="s">
        <v>225</v>
      </c>
      <c r="E18" s="30" t="s">
        <v>230</v>
      </c>
    </row>
    <row r="19" spans="1:7" x14ac:dyDescent="0.25">
      <c r="A19" t="s">
        <v>232</v>
      </c>
      <c r="B19" s="11" t="s">
        <v>236</v>
      </c>
      <c r="C19">
        <f>ATAN(TAN(C12)*COS(C11))</f>
        <v>0.44894428756090049</v>
      </c>
      <c r="D19" t="s">
        <v>225</v>
      </c>
      <c r="E19" s="30" t="s">
        <v>213</v>
      </c>
    </row>
  </sheetData>
  <sheetProtection algorithmName="SHA-512" hashValue="raniy3SEHBAsajRwe3adUh2gefUR+3ku09GHsMqi+YEfKZze2xwkA7r2sPsoCBPqwccU0cSY4MV98EtuwYr4iQ==" saltValue="UHOBN7uyKeSdXyHTtGlIfA==" spinCount="100000" sheet="1" objects="1" scenarios="1"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4"/>
  <sheetViews>
    <sheetView zoomScale="130" zoomScaleNormal="130" workbookViewId="0">
      <selection activeCell="G31" sqref="G31:I31"/>
    </sheetView>
  </sheetViews>
  <sheetFormatPr defaultRowHeight="15" x14ac:dyDescent="0.25"/>
  <cols>
    <col min="2" max="2" width="28" customWidth="1"/>
  </cols>
  <sheetData>
    <row r="1" spans="1:5" x14ac:dyDescent="0.25">
      <c r="A1" t="s">
        <v>135</v>
      </c>
      <c r="B1" s="10" t="s">
        <v>136</v>
      </c>
      <c r="C1" t="s">
        <v>4</v>
      </c>
      <c r="D1" t="s">
        <v>74</v>
      </c>
      <c r="E1" t="s">
        <v>5</v>
      </c>
    </row>
    <row r="2" spans="1:5" ht="18" x14ac:dyDescent="0.35">
      <c r="A2" t="s">
        <v>86</v>
      </c>
      <c r="B2" s="26" t="s">
        <v>240</v>
      </c>
      <c r="C2">
        <f>Input_data!R5</f>
        <v>1.48</v>
      </c>
      <c r="D2" t="s">
        <v>87</v>
      </c>
      <c r="E2" t="s">
        <v>241</v>
      </c>
    </row>
    <row r="3" spans="1:5" ht="18" x14ac:dyDescent="0.35">
      <c r="A3" t="s">
        <v>91</v>
      </c>
      <c r="B3" s="9" t="s">
        <v>242</v>
      </c>
      <c r="C3">
        <f>Input_data!R6</f>
        <v>5.48</v>
      </c>
      <c r="D3" t="s">
        <v>87</v>
      </c>
    </row>
    <row r="4" spans="1:5" ht="18" x14ac:dyDescent="0.35">
      <c r="A4" t="s">
        <v>243</v>
      </c>
      <c r="B4" s="9" t="s">
        <v>244</v>
      </c>
      <c r="C4">
        <f>C2*TAN(RADIANS(Input_data!E21))</f>
        <v>0</v>
      </c>
      <c r="D4" t="s">
        <v>87</v>
      </c>
    </row>
    <row r="5" spans="1:5" ht="18" x14ac:dyDescent="0.35">
      <c r="A5" t="s">
        <v>245</v>
      </c>
      <c r="B5" s="9" t="s">
        <v>246</v>
      </c>
      <c r="C5">
        <f>C3*TAN(RADIANS(Input_data!E21))</f>
        <v>0</v>
      </c>
      <c r="D5" t="s">
        <v>87</v>
      </c>
    </row>
    <row r="8" spans="1:5" ht="18" x14ac:dyDescent="0.35">
      <c r="A8" t="s">
        <v>88</v>
      </c>
      <c r="B8" s="26" t="s">
        <v>240</v>
      </c>
      <c r="C8">
        <f>Input_data!U5</f>
        <v>1.5149999999999999</v>
      </c>
      <c r="D8" t="s">
        <v>87</v>
      </c>
    </row>
    <row r="9" spans="1:5" ht="18" x14ac:dyDescent="0.35">
      <c r="A9" t="s">
        <v>92</v>
      </c>
      <c r="B9" s="9" t="s">
        <v>247</v>
      </c>
      <c r="C9">
        <f>Input_data!U6</f>
        <v>1.5149999999999999</v>
      </c>
      <c r="D9" t="s">
        <v>87</v>
      </c>
    </row>
    <row r="10" spans="1:5" ht="18" x14ac:dyDescent="0.35">
      <c r="A10" t="s">
        <v>248</v>
      </c>
      <c r="B10" s="9" t="s">
        <v>249</v>
      </c>
      <c r="C10">
        <f>C8*TAN(RADIANS(Input_data!E22))</f>
        <v>0.18601860976790047</v>
      </c>
      <c r="D10" t="s">
        <v>87</v>
      </c>
    </row>
    <row r="11" spans="1:5" ht="18" x14ac:dyDescent="0.35">
      <c r="A11" t="s">
        <v>250</v>
      </c>
      <c r="B11" s="9" t="s">
        <v>251</v>
      </c>
      <c r="C11">
        <f>C9*TAN(RADIANS(Input_data!E22))</f>
        <v>0.18601860976790047</v>
      </c>
      <c r="D11" t="s">
        <v>87</v>
      </c>
    </row>
    <row r="14" spans="1:5" ht="18" x14ac:dyDescent="0.35">
      <c r="A14" t="s">
        <v>252</v>
      </c>
      <c r="B14" s="9" t="s">
        <v>253</v>
      </c>
      <c r="C14" s="9">
        <f>C4+C10</f>
        <v>0.18601860976790047</v>
      </c>
    </row>
    <row r="15" spans="1:5" ht="18" x14ac:dyDescent="0.35">
      <c r="A15" t="s">
        <v>254</v>
      </c>
      <c r="B15" s="9" t="s">
        <v>255</v>
      </c>
      <c r="C15" s="9">
        <f>C5+C11</f>
        <v>0.18601860976790047</v>
      </c>
    </row>
    <row r="20" spans="1:1" x14ac:dyDescent="0.25">
      <c r="A20" t="s">
        <v>256</v>
      </c>
    </row>
    <row r="21" spans="1:1" x14ac:dyDescent="0.25">
      <c r="A21" t="s">
        <v>257</v>
      </c>
    </row>
    <row r="23" spans="1:1" x14ac:dyDescent="0.25">
      <c r="A23" t="s">
        <v>258</v>
      </c>
    </row>
    <row r="24" spans="1:1" x14ac:dyDescent="0.25">
      <c r="A24" t="s">
        <v>259</v>
      </c>
    </row>
  </sheetData>
  <sheetProtection algorithmName="SHA-512" hashValue="ykhaAa6l7LXhbBzPMd/MsAc0FFfOHs6DqSnuSxxoItr3XkMk9xpus7MxEOwrK5POp8LN+B3pvfdiIYSksXZZdw==" saltValue="U6l098W19Gti8z/x9+7od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77"/>
  <sheetViews>
    <sheetView zoomScaleNormal="100" workbookViewId="0">
      <pane xSplit="1" topLeftCell="B1" activePane="topRight" state="frozen"/>
      <selection activeCell="G31" sqref="G31:I31"/>
      <selection pane="topRight" activeCell="G31" sqref="G31:I31"/>
    </sheetView>
  </sheetViews>
  <sheetFormatPr defaultRowHeight="15" x14ac:dyDescent="0.25"/>
  <cols>
    <col min="1" max="1" width="13.140625" customWidth="1"/>
    <col min="2" max="2" width="46.42578125" bestFit="1" customWidth="1"/>
    <col min="5" max="5" width="16.5703125" bestFit="1" customWidth="1"/>
    <col min="9" max="9" width="24.85546875" bestFit="1" customWidth="1"/>
  </cols>
  <sheetData>
    <row r="1" spans="1:12" x14ac:dyDescent="0.25">
      <c r="A1" t="s">
        <v>135</v>
      </c>
      <c r="B1" t="s">
        <v>136</v>
      </c>
      <c r="C1" t="s">
        <v>4</v>
      </c>
      <c r="D1" t="s">
        <v>74</v>
      </c>
      <c r="E1" t="s">
        <v>5</v>
      </c>
      <c r="H1" t="s">
        <v>135</v>
      </c>
      <c r="I1" t="s">
        <v>136</v>
      </c>
      <c r="J1" t="s">
        <v>4</v>
      </c>
      <c r="K1" t="s">
        <v>74</v>
      </c>
      <c r="L1" t="s">
        <v>5</v>
      </c>
    </row>
    <row r="2" spans="1:12" x14ac:dyDescent="0.25">
      <c r="A2" t="s">
        <v>260</v>
      </c>
      <c r="B2" s="8"/>
      <c r="C2">
        <f>RADIANS(FoVy_andtol)</f>
        <v>1.0053096491487339</v>
      </c>
      <c r="D2" t="s">
        <v>185</v>
      </c>
      <c r="E2" t="s">
        <v>261</v>
      </c>
    </row>
    <row r="3" spans="1:12" x14ac:dyDescent="0.25">
      <c r="A3" t="s">
        <v>262</v>
      </c>
      <c r="B3" s="8"/>
      <c r="C3">
        <f>RADIANS(FoVx_andtol)</f>
        <v>1.0053096491487339</v>
      </c>
      <c r="D3" t="s">
        <v>185</v>
      </c>
      <c r="E3" t="s">
        <v>261</v>
      </c>
    </row>
    <row r="4" spans="1:12" x14ac:dyDescent="0.25">
      <c r="A4" t="s">
        <v>263</v>
      </c>
      <c r="B4" s="26" t="s">
        <v>264</v>
      </c>
      <c r="C4">
        <f>RADIANS(Input_data!E21)</f>
        <v>0</v>
      </c>
      <c r="D4" t="s">
        <v>78</v>
      </c>
      <c r="E4" t="s">
        <v>265</v>
      </c>
    </row>
    <row r="5" spans="1:12" x14ac:dyDescent="0.25">
      <c r="A5" t="s">
        <v>266</v>
      </c>
      <c r="B5" s="8"/>
      <c r="C5">
        <f>RADIANS(Input_data!E22)</f>
        <v>0.12217304763960307</v>
      </c>
      <c r="D5" t="s">
        <v>78</v>
      </c>
      <c r="E5" t="s">
        <v>267</v>
      </c>
    </row>
    <row r="6" spans="1:12" x14ac:dyDescent="0.25">
      <c r="A6" t="s">
        <v>268</v>
      </c>
      <c r="B6" s="9" t="s">
        <v>269</v>
      </c>
      <c r="C6">
        <f>Rx_Pyramid!C2</f>
        <v>1.746</v>
      </c>
      <c r="D6" t="s">
        <v>87</v>
      </c>
    </row>
    <row r="7" spans="1:12" ht="18" x14ac:dyDescent="0.35">
      <c r="A7" t="s">
        <v>252</v>
      </c>
      <c r="B7" s="9" t="s">
        <v>253</v>
      </c>
      <c r="C7" s="9">
        <f>'R&amp;T_Pyramids'!C14</f>
        <v>0.18601860976790047</v>
      </c>
      <c r="D7" t="s">
        <v>87</v>
      </c>
    </row>
    <row r="8" spans="1:12" x14ac:dyDescent="0.25">
      <c r="B8" s="9"/>
      <c r="C8" s="9"/>
    </row>
    <row r="9" spans="1:12" x14ac:dyDescent="0.25">
      <c r="B9" s="9"/>
      <c r="C9" s="9"/>
    </row>
    <row r="10" spans="1:12" x14ac:dyDescent="0.25">
      <c r="B10" s="9"/>
      <c r="C10" s="9"/>
    </row>
    <row r="11" spans="1:12" x14ac:dyDescent="0.25">
      <c r="A11" t="s">
        <v>270</v>
      </c>
      <c r="H11" t="s">
        <v>271</v>
      </c>
    </row>
    <row r="12" spans="1:12" ht="18" x14ac:dyDescent="0.35">
      <c r="A12" t="s">
        <v>272</v>
      </c>
      <c r="B12" s="9" t="s">
        <v>273</v>
      </c>
      <c r="C12">
        <f>C7</f>
        <v>0.18601860976790047</v>
      </c>
      <c r="D12" t="s">
        <v>87</v>
      </c>
      <c r="I12" s="9"/>
    </row>
    <row r="13" spans="1:12" ht="18" x14ac:dyDescent="0.35">
      <c r="A13" t="s">
        <v>137</v>
      </c>
      <c r="B13" s="9" t="s">
        <v>274</v>
      </c>
      <c r="C13">
        <f>Rx_Pyramid!C2+C12</f>
        <v>1.9320186097679004</v>
      </c>
      <c r="D13" t="s">
        <v>87</v>
      </c>
      <c r="I13" s="9"/>
    </row>
    <row r="14" spans="1:12" ht="18" x14ac:dyDescent="0.35">
      <c r="A14" t="s">
        <v>275</v>
      </c>
      <c r="B14" s="9" t="s">
        <v>276</v>
      </c>
      <c r="C14">
        <f>'R&amp;T_Pyramids'!C4</f>
        <v>0</v>
      </c>
      <c r="D14" t="s">
        <v>87</v>
      </c>
      <c r="E14" t="s">
        <v>98</v>
      </c>
      <c r="I14" s="9"/>
    </row>
    <row r="15" spans="1:12" ht="18" x14ac:dyDescent="0.35">
      <c r="A15" t="s">
        <v>277</v>
      </c>
      <c r="B15" s="9" t="s">
        <v>278</v>
      </c>
      <c r="C15">
        <f>'R&amp;T_Pyramids'!C10</f>
        <v>0.18601860976790047</v>
      </c>
      <c r="D15" t="s">
        <v>87</v>
      </c>
      <c r="E15" t="s">
        <v>96</v>
      </c>
      <c r="I15" s="9"/>
    </row>
    <row r="16" spans="1:12" x14ac:dyDescent="0.25">
      <c r="A16" t="s">
        <v>279</v>
      </c>
      <c r="B16" s="9" t="s">
        <v>280</v>
      </c>
      <c r="C16">
        <f>C6+C15</f>
        <v>1.9320186097679004</v>
      </c>
      <c r="D16" t="s">
        <v>87</v>
      </c>
      <c r="I16" s="9"/>
    </row>
    <row r="17" spans="1:11" x14ac:dyDescent="0.25">
      <c r="B17" s="9"/>
      <c r="I17" s="9"/>
    </row>
    <row r="18" spans="1:11" x14ac:dyDescent="0.25">
      <c r="A18" t="s">
        <v>281</v>
      </c>
      <c r="B18" s="9" t="s">
        <v>282</v>
      </c>
      <c r="C18">
        <f>C13*SIN(C58)/SIN(C59)</f>
        <v>2.2047288395327453</v>
      </c>
      <c r="D18" t="s">
        <v>87</v>
      </c>
      <c r="H18" t="s">
        <v>283</v>
      </c>
      <c r="I18" s="9" t="s">
        <v>284</v>
      </c>
      <c r="J18">
        <f>C13*SIN(J58)/SIN(J59)</f>
        <v>2.065317079170125</v>
      </c>
      <c r="K18" t="s">
        <v>87</v>
      </c>
    </row>
    <row r="19" spans="1:11" x14ac:dyDescent="0.25">
      <c r="A19" t="s">
        <v>285</v>
      </c>
      <c r="B19" s="9" t="s">
        <v>286</v>
      </c>
      <c r="C19">
        <f>C13*SIN(C61)/SIGN(C60)</f>
        <v>1.9320186097679004</v>
      </c>
      <c r="D19" t="s">
        <v>87</v>
      </c>
      <c r="H19" t="s">
        <v>287</v>
      </c>
      <c r="I19" s="9" t="s">
        <v>288</v>
      </c>
      <c r="J19">
        <f>C13*SIN(J61)/SIGN(J60)</f>
        <v>1.9176176360245467</v>
      </c>
      <c r="K19" t="s">
        <v>87</v>
      </c>
    </row>
    <row r="20" spans="1:11" x14ac:dyDescent="0.25">
      <c r="A20" t="s">
        <v>289</v>
      </c>
      <c r="B20" s="9" t="s">
        <v>290</v>
      </c>
      <c r="C20">
        <f>C13*SIN(C3)/SIN(C59)</f>
        <v>1.8615141273771481</v>
      </c>
      <c r="D20" t="s">
        <v>87</v>
      </c>
      <c r="H20" t="s">
        <v>291</v>
      </c>
      <c r="I20" s="9" t="s">
        <v>292</v>
      </c>
      <c r="J20">
        <f>C13*SIN(C2)/SIN(J59)</f>
        <v>1.7569005552799264</v>
      </c>
      <c r="K20" t="s">
        <v>87</v>
      </c>
    </row>
    <row r="21" spans="1:11" x14ac:dyDescent="0.25">
      <c r="A21" t="s">
        <v>293</v>
      </c>
      <c r="B21" s="9" t="s">
        <v>290</v>
      </c>
      <c r="C21">
        <f>C13*SIN(C3)/SIGN(C60)</f>
        <v>1.6312572648166186</v>
      </c>
      <c r="D21" t="s">
        <v>87</v>
      </c>
      <c r="H21" t="s">
        <v>294</v>
      </c>
      <c r="I21" s="9" t="s">
        <v>295</v>
      </c>
      <c r="J21">
        <f>C13*SIN(C2)/SIN(J60)</f>
        <v>2.0112563606268887</v>
      </c>
      <c r="K21" t="s">
        <v>87</v>
      </c>
    </row>
    <row r="22" spans="1:11" x14ac:dyDescent="0.25">
      <c r="B22" s="9"/>
      <c r="I22" s="9"/>
    </row>
    <row r="23" spans="1:11" x14ac:dyDescent="0.25">
      <c r="A23" s="9"/>
      <c r="B23" s="9"/>
      <c r="I23" s="9"/>
    </row>
    <row r="24" spans="1:11" x14ac:dyDescent="0.25">
      <c r="A24" s="9" t="s">
        <v>296</v>
      </c>
      <c r="B24" s="9" t="s">
        <v>297</v>
      </c>
      <c r="C24">
        <f>C16*SIN(C66)/SIN(PI()-C2/2-C66)</f>
        <v>2.065317079170125</v>
      </c>
      <c r="D24" t="s">
        <v>87</v>
      </c>
      <c r="I24" s="9"/>
    </row>
    <row r="25" spans="1:11" x14ac:dyDescent="0.25">
      <c r="A25" t="s">
        <v>298</v>
      </c>
      <c r="B25" s="9" t="s">
        <v>299</v>
      </c>
      <c r="C25">
        <f>C16*SIN(C67)/SIN(C68)</f>
        <v>2.3643239793560338</v>
      </c>
      <c r="D25" t="s">
        <v>87</v>
      </c>
      <c r="I25" s="9"/>
    </row>
    <row r="26" spans="1:11" x14ac:dyDescent="0.25">
      <c r="A26" t="s">
        <v>287</v>
      </c>
      <c r="B26" s="9" t="s">
        <v>300</v>
      </c>
      <c r="C26">
        <f>C13*SIN(PI()/2+C5)/SIN(C69)</f>
        <v>2.3643239793560338</v>
      </c>
      <c r="D26" t="s">
        <v>87</v>
      </c>
      <c r="I26" s="9"/>
    </row>
    <row r="27" spans="1:11" x14ac:dyDescent="0.25">
      <c r="A27" t="s">
        <v>283</v>
      </c>
      <c r="B27" s="9" t="s">
        <v>301</v>
      </c>
      <c r="C27">
        <f>C13*SIN(C70)/SIN(C71)</f>
        <v>2.065317079170125</v>
      </c>
      <c r="D27" t="s">
        <v>87</v>
      </c>
      <c r="I27" s="9"/>
    </row>
    <row r="28" spans="1:11" x14ac:dyDescent="0.25">
      <c r="A28" t="s">
        <v>302</v>
      </c>
      <c r="B28" s="9" t="s">
        <v>303</v>
      </c>
      <c r="C28">
        <f>C26-C25</f>
        <v>0</v>
      </c>
      <c r="D28" t="s">
        <v>87</v>
      </c>
      <c r="E28" t="s">
        <v>304</v>
      </c>
      <c r="I28" s="9"/>
    </row>
    <row r="29" spans="1:11" x14ac:dyDescent="0.25">
      <c r="A29" t="s">
        <v>305</v>
      </c>
      <c r="B29" s="9" t="s">
        <v>306</v>
      </c>
      <c r="C29">
        <f>C27-C24</f>
        <v>0</v>
      </c>
      <c r="D29" t="s">
        <v>87</v>
      </c>
      <c r="E29" t="s">
        <v>304</v>
      </c>
      <c r="I29" s="9"/>
    </row>
    <row r="30" spans="1:11" x14ac:dyDescent="0.25">
      <c r="A30" t="s">
        <v>307</v>
      </c>
      <c r="B30" s="9" t="s">
        <v>308</v>
      </c>
      <c r="C30">
        <f>C16/COS(C3/2)</f>
        <v>2.2047288395327458</v>
      </c>
      <c r="D30" t="s">
        <v>87</v>
      </c>
      <c r="I30" s="9"/>
    </row>
    <row r="31" spans="1:11" x14ac:dyDescent="0.25">
      <c r="B31" s="9"/>
      <c r="I31" s="9"/>
    </row>
    <row r="32" spans="1:11" x14ac:dyDescent="0.25">
      <c r="B32" s="9"/>
      <c r="I32" s="9"/>
    </row>
    <row r="33" spans="1:9" ht="18" x14ac:dyDescent="0.35">
      <c r="A33" t="s">
        <v>309</v>
      </c>
      <c r="B33" s="9" t="s">
        <v>310</v>
      </c>
      <c r="C33">
        <f>'R&amp;T_Pyramids'!C2</f>
        <v>1.48</v>
      </c>
      <c r="D33" t="s">
        <v>87</v>
      </c>
      <c r="I33" s="9"/>
    </row>
    <row r="34" spans="1:9" x14ac:dyDescent="0.25">
      <c r="A34" t="s">
        <v>311</v>
      </c>
      <c r="B34" s="9" t="s">
        <v>312</v>
      </c>
      <c r="C34">
        <f>C16*TAN(C3/2)</f>
        <v>1.0621362188429113</v>
      </c>
      <c r="D34" t="s">
        <v>87</v>
      </c>
      <c r="I34" s="9"/>
    </row>
    <row r="35" spans="1:9" x14ac:dyDescent="0.25">
      <c r="A35" t="s">
        <v>313</v>
      </c>
      <c r="B35" s="9" t="s">
        <v>314</v>
      </c>
      <c r="C35">
        <f>C33-C34</f>
        <v>0.41786378115708867</v>
      </c>
      <c r="D35" t="s">
        <v>87</v>
      </c>
      <c r="I35" s="9"/>
    </row>
    <row r="36" spans="1:9" x14ac:dyDescent="0.25">
      <c r="A36" s="28" t="s">
        <v>138</v>
      </c>
      <c r="B36" s="29" t="s">
        <v>139</v>
      </c>
      <c r="C36" s="28">
        <f>C35*SIN(C4)/SIN(PI()-C4-(PI()/2-C3/2))</f>
        <v>0</v>
      </c>
      <c r="D36" t="s">
        <v>87</v>
      </c>
      <c r="I36" s="9"/>
    </row>
    <row r="37" spans="1:9" x14ac:dyDescent="0.25">
      <c r="A37" t="s">
        <v>315</v>
      </c>
      <c r="B37" s="9" t="s">
        <v>316</v>
      </c>
      <c r="C37">
        <f>C34</f>
        <v>1.0621362188429113</v>
      </c>
      <c r="D37" t="s">
        <v>87</v>
      </c>
      <c r="I37" s="9"/>
    </row>
    <row r="38" spans="1:9" x14ac:dyDescent="0.25">
      <c r="A38" t="s">
        <v>317</v>
      </c>
      <c r="B38" s="9" t="s">
        <v>318</v>
      </c>
      <c r="C38">
        <f>C33+C37</f>
        <v>2.5421362188429111</v>
      </c>
      <c r="D38" t="s">
        <v>87</v>
      </c>
      <c r="I38" s="9"/>
    </row>
    <row r="39" spans="1:9" x14ac:dyDescent="0.25">
      <c r="A39" s="28" t="s">
        <v>140</v>
      </c>
      <c r="B39" s="29" t="s">
        <v>141</v>
      </c>
      <c r="C39" s="28">
        <f>C38*SIN(C4)/SIN(C75)</f>
        <v>0</v>
      </c>
      <c r="D39" t="s">
        <v>87</v>
      </c>
      <c r="I39" s="9"/>
    </row>
    <row r="40" spans="1:9" x14ac:dyDescent="0.25">
      <c r="B40" s="9"/>
      <c r="I40" s="9"/>
    </row>
    <row r="41" spans="1:9" x14ac:dyDescent="0.25">
      <c r="A41" t="s">
        <v>319</v>
      </c>
      <c r="B41" s="9" t="s">
        <v>320</v>
      </c>
      <c r="C41">
        <f>C25*TAN(C3/2)</f>
        <v>1.2997981069419025</v>
      </c>
      <c r="D41" t="s">
        <v>87</v>
      </c>
      <c r="I41" s="9"/>
    </row>
    <row r="42" spans="1:9" x14ac:dyDescent="0.25">
      <c r="A42" t="s">
        <v>321</v>
      </c>
      <c r="B42" s="9" t="s">
        <v>322</v>
      </c>
      <c r="C42">
        <f>C33-C41</f>
        <v>0.18020189305809753</v>
      </c>
      <c r="D42" t="s">
        <v>87</v>
      </c>
      <c r="I42" s="9"/>
    </row>
    <row r="43" spans="1:9" x14ac:dyDescent="0.25">
      <c r="A43" s="28" t="s">
        <v>142</v>
      </c>
      <c r="B43" s="29" t="s">
        <v>143</v>
      </c>
      <c r="C43" s="28">
        <f>C42*SIN(C4)/SIN(PI()-C4-(PI()/2-C3/2))</f>
        <v>0</v>
      </c>
      <c r="D43" t="s">
        <v>87</v>
      </c>
      <c r="I43" s="9"/>
    </row>
    <row r="44" spans="1:9" x14ac:dyDescent="0.25">
      <c r="A44" t="s">
        <v>323</v>
      </c>
      <c r="B44" s="9" t="s">
        <v>324</v>
      </c>
      <c r="C44">
        <f>C41</f>
        <v>1.2997981069419025</v>
      </c>
      <c r="D44" t="s">
        <v>87</v>
      </c>
      <c r="I44" s="9"/>
    </row>
    <row r="45" spans="1:9" x14ac:dyDescent="0.25">
      <c r="A45" t="s">
        <v>325</v>
      </c>
      <c r="B45" s="9" t="s">
        <v>326</v>
      </c>
      <c r="C45">
        <f>C33+C44</f>
        <v>2.7797981069419024</v>
      </c>
      <c r="D45" t="s">
        <v>87</v>
      </c>
      <c r="I45" s="9"/>
    </row>
    <row r="46" spans="1:9" x14ac:dyDescent="0.25">
      <c r="A46" s="28" t="s">
        <v>144</v>
      </c>
      <c r="B46" s="29" t="s">
        <v>145</v>
      </c>
      <c r="C46" s="28">
        <f>C45*SIN(C4)/SIN(C77)</f>
        <v>0</v>
      </c>
      <c r="D46" t="s">
        <v>87</v>
      </c>
      <c r="I46" s="9"/>
    </row>
    <row r="47" spans="1:9" x14ac:dyDescent="0.25">
      <c r="B47" s="9"/>
      <c r="I47" s="9"/>
    </row>
    <row r="48" spans="1:9" x14ac:dyDescent="0.25">
      <c r="A48" t="s">
        <v>327</v>
      </c>
      <c r="B48" s="9" t="s">
        <v>328</v>
      </c>
      <c r="C48">
        <f>C24*TAN(C3/2)</f>
        <v>1.1354176725269598</v>
      </c>
      <c r="D48" t="s">
        <v>87</v>
      </c>
      <c r="I48" s="9"/>
    </row>
    <row r="49" spans="1:12" x14ac:dyDescent="0.25">
      <c r="A49" t="s">
        <v>329</v>
      </c>
      <c r="B49" s="9" t="s">
        <v>330</v>
      </c>
      <c r="C49">
        <f>C33-C48</f>
        <v>0.34458232747304018</v>
      </c>
      <c r="D49" t="s">
        <v>87</v>
      </c>
      <c r="I49" s="9"/>
    </row>
    <row r="50" spans="1:12" x14ac:dyDescent="0.25">
      <c r="A50" s="28" t="s">
        <v>146</v>
      </c>
      <c r="B50" s="29" t="s">
        <v>147</v>
      </c>
      <c r="C50" s="28">
        <f>C49*SIN(C4)/SIN(PI()-C4-(PI()/2-C3/2))</f>
        <v>0</v>
      </c>
      <c r="D50" t="s">
        <v>87</v>
      </c>
      <c r="I50" s="9"/>
    </row>
    <row r="51" spans="1:12" x14ac:dyDescent="0.25">
      <c r="A51" t="s">
        <v>331</v>
      </c>
      <c r="B51" s="9" t="s">
        <v>332</v>
      </c>
      <c r="C51">
        <f>C48</f>
        <v>1.1354176725269598</v>
      </c>
      <c r="D51" t="s">
        <v>87</v>
      </c>
      <c r="I51" s="9"/>
    </row>
    <row r="52" spans="1:12" x14ac:dyDescent="0.25">
      <c r="A52" t="s">
        <v>333</v>
      </c>
      <c r="B52" s="9" t="s">
        <v>334</v>
      </c>
      <c r="C52">
        <f>C33+C51</f>
        <v>2.6154176725269598</v>
      </c>
      <c r="D52" t="s">
        <v>87</v>
      </c>
      <c r="I52" s="9"/>
    </row>
    <row r="53" spans="1:12" x14ac:dyDescent="0.25">
      <c r="A53" s="28" t="s">
        <v>148</v>
      </c>
      <c r="B53" s="29" t="s">
        <v>149</v>
      </c>
      <c r="C53" s="28">
        <f>C52*SIN(C4)/SIN(C77)</f>
        <v>0</v>
      </c>
      <c r="D53" t="s">
        <v>87</v>
      </c>
      <c r="I53" s="9"/>
    </row>
    <row r="54" spans="1:12" x14ac:dyDescent="0.25">
      <c r="B54" s="9"/>
      <c r="I54" s="9"/>
    </row>
    <row r="56" spans="1:12" x14ac:dyDescent="0.25">
      <c r="A56" t="s">
        <v>335</v>
      </c>
      <c r="B56" t="s">
        <v>336</v>
      </c>
      <c r="C56">
        <f>(C3/2)</f>
        <v>0.50265482457436694</v>
      </c>
      <c r="D56" t="s">
        <v>185</v>
      </c>
      <c r="E56" s="9" t="s">
        <v>337</v>
      </c>
      <c r="H56" t="s">
        <v>338</v>
      </c>
      <c r="I56" t="s">
        <v>339</v>
      </c>
      <c r="J56">
        <f>(C2/2)</f>
        <v>0.50265482457436694</v>
      </c>
      <c r="K56" t="s">
        <v>185</v>
      </c>
      <c r="L56" s="9" t="s">
        <v>337</v>
      </c>
    </row>
    <row r="57" spans="1:12" x14ac:dyDescent="0.25">
      <c r="A57" t="s">
        <v>340</v>
      </c>
      <c r="B57" s="9" t="s">
        <v>341</v>
      </c>
      <c r="C57">
        <f>C4</f>
        <v>0</v>
      </c>
      <c r="E57" s="9"/>
      <c r="H57" t="s">
        <v>342</v>
      </c>
      <c r="I57" s="9" t="s">
        <v>343</v>
      </c>
      <c r="J57">
        <f>C5</f>
        <v>0.12217304763960307</v>
      </c>
      <c r="L57" s="9"/>
    </row>
    <row r="58" spans="1:12" x14ac:dyDescent="0.25">
      <c r="A58" t="s">
        <v>344</v>
      </c>
      <c r="B58" s="9" t="s">
        <v>345</v>
      </c>
      <c r="C58">
        <f>(PI()/2-C57)</f>
        <v>1.5707963267948966</v>
      </c>
      <c r="D58" t="s">
        <v>185</v>
      </c>
      <c r="E58" t="s">
        <v>346</v>
      </c>
      <c r="H58" t="s">
        <v>347</v>
      </c>
      <c r="I58" s="9" t="s">
        <v>345</v>
      </c>
      <c r="J58">
        <f>(PI()/2-J57)</f>
        <v>1.4486232791552935</v>
      </c>
      <c r="K58" t="s">
        <v>185</v>
      </c>
      <c r="L58" t="s">
        <v>346</v>
      </c>
    </row>
    <row r="59" spans="1:12" x14ac:dyDescent="0.25">
      <c r="A59" t="s">
        <v>348</v>
      </c>
      <c r="B59" s="9" t="s">
        <v>349</v>
      </c>
      <c r="C59">
        <f>(PI()-C56-C58)</f>
        <v>1.0681415022205298</v>
      </c>
      <c r="D59" t="s">
        <v>185</v>
      </c>
      <c r="H59" t="s">
        <v>350</v>
      </c>
      <c r="I59" s="9" t="s">
        <v>351</v>
      </c>
      <c r="J59">
        <f>(PI()-J56-J58)</f>
        <v>1.1903145498601329</v>
      </c>
      <c r="K59" t="s">
        <v>185</v>
      </c>
    </row>
    <row r="60" spans="1:12" x14ac:dyDescent="0.25">
      <c r="A60" t="s">
        <v>352</v>
      </c>
      <c r="B60" s="9" t="s">
        <v>353</v>
      </c>
      <c r="C60">
        <f>(PI()-C3-C59)</f>
        <v>1.0681415022205294</v>
      </c>
      <c r="D60" t="s">
        <v>185</v>
      </c>
      <c r="H60" t="s">
        <v>354</v>
      </c>
      <c r="I60" s="9" t="s">
        <v>355</v>
      </c>
      <c r="J60">
        <f>(PI()-C2-J59)</f>
        <v>0.94596845458092638</v>
      </c>
      <c r="K60" t="s">
        <v>185</v>
      </c>
    </row>
    <row r="61" spans="1:12" x14ac:dyDescent="0.25">
      <c r="A61" t="s">
        <v>356</v>
      </c>
      <c r="B61" s="9" t="s">
        <v>357</v>
      </c>
      <c r="C61">
        <f>(PI()-C58)</f>
        <v>1.5707963267948966</v>
      </c>
      <c r="D61" t="s">
        <v>185</v>
      </c>
      <c r="H61" t="s">
        <v>358</v>
      </c>
      <c r="I61" s="9" t="s">
        <v>359</v>
      </c>
      <c r="J61">
        <f>(PI()-J58)</f>
        <v>1.6929693744344996</v>
      </c>
      <c r="K61" t="s">
        <v>185</v>
      </c>
    </row>
    <row r="63" spans="1:12" x14ac:dyDescent="0.25">
      <c r="A63" t="s">
        <v>360</v>
      </c>
      <c r="B63" s="27" t="s">
        <v>361</v>
      </c>
      <c r="C63">
        <f>PI()/2</f>
        <v>1.5707963267948966</v>
      </c>
      <c r="D63" t="s">
        <v>185</v>
      </c>
    </row>
    <row r="64" spans="1:12" x14ac:dyDescent="0.25">
      <c r="A64" t="s">
        <v>362</v>
      </c>
      <c r="B64" s="27" t="s">
        <v>361</v>
      </c>
      <c r="C64">
        <f>PI()/2</f>
        <v>1.5707963267948966</v>
      </c>
      <c r="D64" t="s">
        <v>185</v>
      </c>
    </row>
    <row r="66" spans="1:4" x14ac:dyDescent="0.25">
      <c r="A66" t="s">
        <v>363</v>
      </c>
      <c r="B66" s="9" t="s">
        <v>364</v>
      </c>
      <c r="C66">
        <f>PI()/2-C5</f>
        <v>1.4486232791552935</v>
      </c>
      <c r="D66" t="s">
        <v>185</v>
      </c>
    </row>
    <row r="67" spans="1:4" x14ac:dyDescent="0.25">
      <c r="A67" t="s">
        <v>365</v>
      </c>
      <c r="B67" s="9" t="s">
        <v>366</v>
      </c>
      <c r="C67">
        <f>PI()/2+C5</f>
        <v>1.6929693744344996</v>
      </c>
      <c r="D67" t="s">
        <v>185</v>
      </c>
    </row>
    <row r="68" spans="1:4" x14ac:dyDescent="0.25">
      <c r="A68" t="s">
        <v>367</v>
      </c>
      <c r="B68" s="9" t="s">
        <v>368</v>
      </c>
      <c r="C68">
        <f>PI()-C67-C2/2</f>
        <v>0.9459684545809266</v>
      </c>
      <c r="D68" t="s">
        <v>185</v>
      </c>
    </row>
    <row r="69" spans="1:4" x14ac:dyDescent="0.25">
      <c r="A69" t="s">
        <v>369</v>
      </c>
      <c r="B69" s="9" t="s">
        <v>370</v>
      </c>
      <c r="C69">
        <f>PI()/2-C2/2-C5</f>
        <v>0.9459684545809266</v>
      </c>
      <c r="D69" t="s">
        <v>185</v>
      </c>
    </row>
    <row r="70" spans="1:4" x14ac:dyDescent="0.25">
      <c r="A70" t="s">
        <v>371</v>
      </c>
      <c r="B70" s="9" t="s">
        <v>364</v>
      </c>
      <c r="C70">
        <f>PI()/2-C5</f>
        <v>1.4486232791552935</v>
      </c>
      <c r="D70" t="s">
        <v>185</v>
      </c>
    </row>
    <row r="71" spans="1:4" x14ac:dyDescent="0.25">
      <c r="A71" t="s">
        <v>350</v>
      </c>
      <c r="B71" s="9" t="s">
        <v>372</v>
      </c>
      <c r="C71">
        <f>PI()-C70-C2/2</f>
        <v>1.1903145498601326</v>
      </c>
      <c r="D71" t="s">
        <v>185</v>
      </c>
    </row>
    <row r="72" spans="1:4" x14ac:dyDescent="0.25">
      <c r="A72" t="s">
        <v>373</v>
      </c>
      <c r="B72" s="9" t="s">
        <v>361</v>
      </c>
      <c r="C72">
        <f>PI()/2</f>
        <v>1.5707963267948966</v>
      </c>
      <c r="D72" t="s">
        <v>185</v>
      </c>
    </row>
    <row r="74" spans="1:4" x14ac:dyDescent="0.25">
      <c r="A74" t="s">
        <v>374</v>
      </c>
      <c r="B74" s="9" t="s">
        <v>375</v>
      </c>
      <c r="C74">
        <f>PI()/2+C3/2</f>
        <v>2.0734511513692633</v>
      </c>
      <c r="D74" t="s">
        <v>185</v>
      </c>
    </row>
    <row r="75" spans="1:4" x14ac:dyDescent="0.25">
      <c r="A75" t="s">
        <v>376</v>
      </c>
      <c r="B75" s="9" t="s">
        <v>377</v>
      </c>
      <c r="C75">
        <f>PI()-C4-C74</f>
        <v>1.0681415022205298</v>
      </c>
      <c r="D75" t="s">
        <v>185</v>
      </c>
    </row>
    <row r="77" spans="1:4" x14ac:dyDescent="0.25">
      <c r="A77" t="s">
        <v>378</v>
      </c>
      <c r="B77" s="9" t="s">
        <v>379</v>
      </c>
      <c r="C77">
        <f>PI()-C4-(PI()/2+Rx_Pyramid!C17)</f>
        <v>1.1218520392339961</v>
      </c>
      <c r="D77" t="s">
        <v>185</v>
      </c>
    </row>
  </sheetData>
  <sheetProtection algorithmName="SHA-512" hashValue="owsSEvNx6tI9/wPms7ZfaUbPEGE89R6c5/2A0Z9pLtx6H7+vYoUqLMTGmNVd91T5nLp2Wyus3mI2Q+SOfO8ynw==" saltValue="i4iq90LEThnyPxg3+pWZDQ==" spinCount="100000" sheet="1" objects="1" scenarios="1"/>
  <conditionalFormatting sqref="A1:XFD1 A2:E3 G2:XFD3 A4:XFD1048576">
    <cfRule type="cellIs" dxfId="28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e8b862-15e6-4e43-a653-c595c72fe1ca" xsi:nil="true"/>
    <lcf76f155ced4ddcb4097134ff3c332f xmlns="98b941a8-930e-4cc3-ba06-0d30992cc08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4301C38D6B3F4EAAADA0580A7E8D0D" ma:contentTypeVersion="18" ma:contentTypeDescription="Create a new document." ma:contentTypeScope="" ma:versionID="e90a1764589baca65ce2b9edffb0fc62">
  <xsd:schema xmlns:xsd="http://www.w3.org/2001/XMLSchema" xmlns:xs="http://www.w3.org/2001/XMLSchema" xmlns:p="http://schemas.microsoft.com/office/2006/metadata/properties" xmlns:ns2="00ef874d-c130-4c70-8681-442ecd35c498" xmlns:ns3="98b941a8-930e-4cc3-ba06-0d30992cc085" xmlns:ns4="e4e8b862-15e6-4e43-a653-c595c72fe1ca" targetNamespace="http://schemas.microsoft.com/office/2006/metadata/properties" ma:root="true" ma:fieldsID="2c3120cdf5c7734e627271dd8a6e119e" ns2:_="" ns3:_="" ns4:_="">
    <xsd:import namespace="00ef874d-c130-4c70-8681-442ecd35c498"/>
    <xsd:import namespace="98b941a8-930e-4cc3-ba06-0d30992cc085"/>
    <xsd:import namespace="e4e8b862-15e6-4e43-a653-c595c72fe1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f874d-c130-4c70-8681-442ecd35c49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b941a8-930e-4cc3-ba06-0d30992cc0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15f0e51-4dc2-4521-a620-e03b1e9ce1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e8b862-15e6-4e43-a653-c595c72fe1c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94ba637-ccb5-49ba-993f-7f6b55663e87}" ma:internalName="TaxCatchAll" ma:showField="CatchAllData" ma:web="00ef874d-c130-4c70-8681-442ecd35c4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65AA0F-B1A9-413F-B1CF-6EE9A08BAE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FF2052-CBEA-4783-92AD-B3570E2224E7}">
  <ds:schemaRefs>
    <ds:schemaRef ds:uri="http://schemas.microsoft.com/office/2006/metadata/properties"/>
    <ds:schemaRef ds:uri="http://schemas.microsoft.com/office/infopath/2007/PartnerControls"/>
    <ds:schemaRef ds:uri="e4e8b862-15e6-4e43-a653-c595c72fe1ca"/>
    <ds:schemaRef ds:uri="98b941a8-930e-4cc3-ba06-0d30992cc085"/>
  </ds:schemaRefs>
</ds:datastoreItem>
</file>

<file path=customXml/itemProps3.xml><?xml version="1.0" encoding="utf-8"?>
<ds:datastoreItem xmlns:ds="http://schemas.openxmlformats.org/officeDocument/2006/customXml" ds:itemID="{87B6C730-F945-4D9F-A9B7-69429E8340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ef874d-c130-4c70-8681-442ecd35c498"/>
    <ds:schemaRef ds:uri="98b941a8-930e-4cc3-ba06-0d30992cc085"/>
    <ds:schemaRef ds:uri="e4e8b862-15e6-4e43-a653-c595c72fe1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f8c7287-838c-46dd-b281-b1140229e67a}" enabled="1" method="Privileged" siteId="{75e027c9-20d5-47d5-b82f-77d7cd041e8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12</vt:i4>
      </vt:variant>
    </vt:vector>
  </HeadingPairs>
  <TitlesOfParts>
    <vt:vector size="26" baseType="lpstr">
      <vt:lpstr>CUSTOMER SHEET</vt:lpstr>
      <vt:lpstr>Version</vt:lpstr>
      <vt:lpstr>Input_data</vt:lpstr>
      <vt:lpstr>Rx_final</vt:lpstr>
      <vt:lpstr>Rx_Pyramid</vt:lpstr>
      <vt:lpstr>Tx_Pyramid</vt:lpstr>
      <vt:lpstr>R&amp;T_Pyramids</vt:lpstr>
      <vt:lpstr>CG_p&amp;r_receiver</vt:lpstr>
      <vt:lpstr>CG_p&amp;r_transmitter</vt:lpstr>
      <vt:lpstr>Tx_final</vt:lpstr>
      <vt:lpstr>Refraction</vt:lpstr>
      <vt:lpstr>C_centre</vt:lpstr>
      <vt:lpstr>R_centre</vt:lpstr>
      <vt:lpstr>Apex</vt:lpstr>
      <vt:lpstr>Airgap</vt:lpstr>
      <vt:lpstr>Airgap_Diffraction_Index</vt:lpstr>
      <vt:lpstr>CG_Diffraction_Index</vt:lpstr>
      <vt:lpstr>CG_Rx</vt:lpstr>
      <vt:lpstr>CG_Ry</vt:lpstr>
      <vt:lpstr>CG_Thickness</vt:lpstr>
      <vt:lpstr>FoV_Tol</vt:lpstr>
      <vt:lpstr>FoVx_andtol</vt:lpstr>
      <vt:lpstr>FoVy_andtol</vt:lpstr>
      <vt:lpstr>Module_rZ</vt:lpstr>
      <vt:lpstr>Module_XYTols</vt:lpstr>
      <vt:lpstr>Module_ZTol</vt:lpstr>
    </vt:vector>
  </TitlesOfParts>
  <Manager/>
  <Company>STMicroelectronics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en.Multi_Zone_Cover_window_coating_aperture_calculation</dc:title>
  <dc:subject/>
  <dc:creator>thomas.perotto@st.com</dc:creator>
  <cp:keywords/>
  <dc:description/>
  <cp:lastModifiedBy>Ishita MEHTA</cp:lastModifiedBy>
  <cp:revision/>
  <dcterms:created xsi:type="dcterms:W3CDTF">2018-10-12T12:46:29Z</dcterms:created>
  <dcterms:modified xsi:type="dcterms:W3CDTF">2026-08-05T08:35:31Z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f8c7287-838c-46dd-b281-b1140229e67a_Enabled">
    <vt:lpwstr>true</vt:lpwstr>
  </property>
  <property fmtid="{D5CDD505-2E9C-101B-9397-08002B2CF9AE}" pid="3" name="MSIP_Label_cf8c7287-838c-46dd-b281-b1140229e67a_SetDate">
    <vt:lpwstr>2021-02-04T11:40:19Z</vt:lpwstr>
  </property>
  <property fmtid="{D5CDD505-2E9C-101B-9397-08002B2CF9AE}" pid="4" name="MSIP_Label_cf8c7287-838c-46dd-b281-b1140229e67a_Method">
    <vt:lpwstr>Privileged</vt:lpwstr>
  </property>
  <property fmtid="{D5CDD505-2E9C-101B-9397-08002B2CF9AE}" pid="5" name="MSIP_Label_cf8c7287-838c-46dd-b281-b1140229e67a_Name">
    <vt:lpwstr>cf8c7287-838c-46dd-b281-b1140229e67a</vt:lpwstr>
  </property>
  <property fmtid="{D5CDD505-2E9C-101B-9397-08002B2CF9AE}" pid="6" name="MSIP_Label_cf8c7287-838c-46dd-b281-b1140229e67a_SiteId">
    <vt:lpwstr>75e027c9-20d5-47d5-b82f-77d7cd041e8f</vt:lpwstr>
  </property>
  <property fmtid="{D5CDD505-2E9C-101B-9397-08002B2CF9AE}" pid="7" name="MSIP_Label_cf8c7287-838c-46dd-b281-b1140229e67a_ActionId">
    <vt:lpwstr>2ed8a9a8-e5fc-454d-a77d-97af769c18dd</vt:lpwstr>
  </property>
  <property fmtid="{D5CDD505-2E9C-101B-9397-08002B2CF9AE}" pid="8" name="MSIP_Label_cf8c7287-838c-46dd-b281-b1140229e67a_ContentBits">
    <vt:lpwstr>0</vt:lpwstr>
  </property>
  <property fmtid="{D5CDD505-2E9C-101B-9397-08002B2CF9AE}" pid="9" name="ContentTypeId">
    <vt:lpwstr>0x010100194301C38D6B3F4EAAADA0580A7E8D0D</vt:lpwstr>
  </property>
  <property fmtid="{D5CDD505-2E9C-101B-9397-08002B2CF9AE}" pid="10" name="MediaServiceImageTags">
    <vt:lpwstr/>
  </property>
</Properties>
</file>